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X1\Documents\Claude\Dev\Aj.Boy\MMNWeb2\assets\downloads\"/>
    </mc:Choice>
  </mc:AlternateContent>
  <xr:revisionPtr revIDLastSave="0" documentId="8_{03E9446B-3EB2-4DA3-A28F-C5D5F19034DC}" xr6:coauthVersionLast="47" xr6:coauthVersionMax="47" xr10:uidLastSave="{00000000-0000-0000-0000-000000000000}"/>
  <bookViews>
    <workbookView xWindow="-108" yWindow="-108" windowWidth="23256" windowHeight="12456" xr2:uid="{D4333D5F-1EB8-4190-AFB4-932ED4E21A1A}"/>
  </bookViews>
  <sheets>
    <sheet name="คำแนะนำ (Guide)" sheetId="1" r:id="rId1"/>
    <sheet name="ข้อมูลนำเข้า (Inputs)" sheetId="2" r:id="rId2"/>
    <sheet name="ตารางหนี้สิน (Liab. schedule)" sheetId="3" r:id="rId3"/>
    <sheet name="ROU &amp; ค่าเสื่อม" sheetId="4" r:id="rId4"/>
    <sheet name="สรุปรายปี (Annual summary)" sheetId="5" r:id="rId5"/>
    <sheet name="รายการบัญชี (Journal entries)" sheetId="6" r:id="rId6"/>
  </sheets>
  <definedNames>
    <definedName name="c_Adv">'ข้อมูลนำเข้า (Inputs)'!$B$23</definedName>
    <definedName name="c_Dep">'ข้อมูลนำเข้า (Inputs)'!$B$28</definedName>
    <definedName name="c_End">'ข้อมูลนำเข้า (Inputs)'!$B$32</definedName>
    <definedName name="c_FirstPmt">'ข้อมูลนำเข้า (Inputs)'!$B$26</definedName>
    <definedName name="c_L0">'ข้อมูลนำเข้า (Inputs)'!$B$25</definedName>
    <definedName name="c_NPay">'ข้อมูลนำเข้า (Inputs)'!$B$24</definedName>
    <definedName name="c_Rate">'ข้อมูลนำเข้า (Inputs)'!$B$22</definedName>
    <definedName name="c_ROU">'ข้อมูลนำเข้า (Inputs)'!$B$27</definedName>
    <definedName name="c_TotInt">'ข้อมูลนำเข้า (Inputs)'!$B$31</definedName>
    <definedName name="c_TotPmt">'ข้อมูลนำเข้า (Inputs)'!$B$30</definedName>
    <definedName name="c_Years">'ข้อมูลนำเข้า (Inputs)'!$B$29</definedName>
    <definedName name="in_AssetVal">'ข้อมูลนำเข้า (Inputs)'!$B$17</definedName>
    <definedName name="in_IBR">'ข้อมูลนำเข้า (Inputs)'!$B$11</definedName>
    <definedName name="in_IDC">'ข้อมูลนำเข้า (Inputs)'!$B$12</definedName>
    <definedName name="in_Incent">'ข้อมูลนำเข้า (Inputs)'!$B$14</definedName>
    <definedName name="in_LowThr">'ข้อมูลนำเข้า (Inputs)'!$B$18</definedName>
    <definedName name="in_Name">'ข้อมูลนำเข้า (Inputs)'!$B$6</definedName>
    <definedName name="in_Pmt">'ข้อมูลนำเข้า (Inputs)'!$B$9</definedName>
    <definedName name="in_Prepaid">'ข้อมูลนำเข้า (Inputs)'!$B$13</definedName>
    <definedName name="in_PurchOpt">'ข้อมูลนำเข้า (Inputs)'!$B$16</definedName>
    <definedName name="in_Restor">'ข้อมูลนำเข้า (Inputs)'!$B$15</definedName>
    <definedName name="in_Start">'ข้อมูลนำเข้า (Inputs)'!$B$7</definedName>
    <definedName name="in_Term">'ข้อมูลนำเข้า (Inputs)'!$B$8</definedName>
    <definedName name="in_Timing">'ข้อมูลนำเข้า (Inputs)'!$B$10</definedName>
    <definedName name="_xlnm.Print_Area" localSheetId="3">OFFSET('ROU &amp; ค่าเสื่อม'!$A$1,0,0,7+MIN(in_Term,120),8)</definedName>
    <definedName name="_xlnm.Print_Area" localSheetId="2">OFFSET('ตารางหนี้สิน (Liab. schedule)'!$A$1,0,0,7+MIN(in_Term,120),9)</definedName>
    <definedName name="_xlnm.Print_Titles" localSheetId="3">'ROU &amp; ค่าเสื่อม'!$7:$7</definedName>
    <definedName name="_xlnm.Print_Titles" localSheetId="2">'ตารางหนี้สิน (Liab. schedule)'!$7:$7</definedName>
    <definedName name="_xlnm.Print_Titles" localSheetId="4">'สรุปรายปี (Annual summary)'!$5:$5</definedName>
    <definedName name="r_Carry">'ROU &amp; ค่าเสื่อม'!$G$8:$G$127</definedName>
    <definedName name="r_Dep">'ROU &amp; ค่าเสื่อม'!$E$8:$E$127</definedName>
    <definedName name="r_Year">'ROU &amp; ค่าเสื่อม'!$H$8:$H$127</definedName>
    <definedName name="s_Close">'ตารางหนี้สิน (Liab. schedule)'!$H$8:$H$127</definedName>
    <definedName name="s_End">'ตารางหนี้สิน (Liab. schedule)'!$C$8:$C$127</definedName>
    <definedName name="s_Int">'ตารางหนี้สิน (Liab. schedule)'!$F$8:$F$127</definedName>
    <definedName name="s_Open">'ตารางหนี้สิน (Liab. schedule)'!$E$8:$E$127</definedName>
    <definedName name="s_Pay">'ตารางหนี้สิน (Liab. schedule)'!$G$8:$G$127</definedName>
    <definedName name="s_PayDate">'ตารางหนี้สิน (Liab. schedule)'!$D$8:$D$127</definedName>
    <definedName name="s_Start">'ตารางหนี้สิน (Liab. schedule)'!$B$8:$B$127</definedName>
    <definedName name="s_Year">'ตารางหนี้สิน (Liab. schedule)'!$I$8:$I$127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D11" i="6" l="1"/>
  <c r="A11" i="6"/>
  <c r="D10" i="6"/>
  <c r="A10" i="6"/>
  <c r="A9" i="6"/>
  <c r="A8" i="6"/>
  <c r="C7" i="6"/>
  <c r="A7" i="6"/>
  <c r="A6" i="6"/>
  <c r="A8" i="4"/>
  <c r="B8" i="4" s="1"/>
  <c r="A8" i="3"/>
  <c r="B8" i="3" s="1"/>
  <c r="A2" i="3"/>
  <c r="B36" i="2"/>
  <c r="B35" i="2"/>
  <c r="B37" i="2" s="1"/>
  <c r="B32" i="2"/>
  <c r="B30" i="2"/>
  <c r="B29" i="2"/>
  <c r="B24" i="2"/>
  <c r="B23" i="2"/>
  <c r="B26" i="2" s="1"/>
  <c r="B22" i="2"/>
  <c r="B19" i="2"/>
  <c r="A9" i="4" l="1"/>
  <c r="D9" i="6"/>
  <c r="C8" i="3"/>
  <c r="G8" i="3"/>
  <c r="B25" i="2"/>
  <c r="A6" i="5"/>
  <c r="A10" i="5"/>
  <c r="A14" i="5"/>
  <c r="A7" i="5"/>
  <c r="A11" i="5"/>
  <c r="A15" i="5"/>
  <c r="A8" i="5"/>
  <c r="A12" i="5"/>
  <c r="A13" i="5"/>
  <c r="A9" i="5"/>
  <c r="A9" i="3"/>
  <c r="I8" i="3"/>
  <c r="E8" i="3"/>
  <c r="H9" i="4"/>
  <c r="C9" i="4"/>
  <c r="B9" i="4"/>
  <c r="A10" i="4"/>
  <c r="H8" i="4"/>
  <c r="C8" i="4"/>
  <c r="F8" i="3" l="1"/>
  <c r="H8" i="3" s="1"/>
  <c r="E9" i="3" s="1"/>
  <c r="K15" i="5"/>
  <c r="I15" i="5"/>
  <c r="G15" i="5"/>
  <c r="E15" i="5"/>
  <c r="C15" i="5"/>
  <c r="F15" i="5"/>
  <c r="L15" i="5"/>
  <c r="D15" i="5"/>
  <c r="J15" i="5"/>
  <c r="B15" i="5"/>
  <c r="H15" i="5"/>
  <c r="A21" i="6"/>
  <c r="A17" i="6"/>
  <c r="A20" i="6"/>
  <c r="A16" i="6"/>
  <c r="L13" i="5"/>
  <c r="J13" i="5"/>
  <c r="H13" i="5"/>
  <c r="F13" i="5"/>
  <c r="D13" i="5"/>
  <c r="B13" i="5"/>
  <c r="I13" i="5"/>
  <c r="G13" i="5"/>
  <c r="E13" i="5"/>
  <c r="C13" i="5"/>
  <c r="K13" i="5"/>
  <c r="K11" i="5"/>
  <c r="I11" i="5"/>
  <c r="G11" i="5"/>
  <c r="E11" i="5"/>
  <c r="C11" i="5"/>
  <c r="L11" i="5"/>
  <c r="D11" i="5"/>
  <c r="J11" i="5"/>
  <c r="B11" i="5"/>
  <c r="H11" i="5"/>
  <c r="F11" i="5"/>
  <c r="C6" i="5"/>
  <c r="B6" i="5"/>
  <c r="D8" i="3"/>
  <c r="C16" i="6"/>
  <c r="D17" i="6"/>
  <c r="K10" i="5"/>
  <c r="I10" i="5"/>
  <c r="G10" i="5"/>
  <c r="E10" i="5"/>
  <c r="C10" i="5"/>
  <c r="L10" i="5"/>
  <c r="J10" i="5"/>
  <c r="H10" i="5"/>
  <c r="F10" i="5"/>
  <c r="D10" i="5"/>
  <c r="B10" i="5"/>
  <c r="L12" i="5"/>
  <c r="J12" i="5"/>
  <c r="H12" i="5"/>
  <c r="F12" i="5"/>
  <c r="D12" i="5"/>
  <c r="B12" i="5"/>
  <c r="K12" i="5"/>
  <c r="I12" i="5"/>
  <c r="G12" i="5"/>
  <c r="E12" i="5"/>
  <c r="C12" i="5"/>
  <c r="C7" i="5"/>
  <c r="B7" i="5"/>
  <c r="D8" i="6"/>
  <c r="D12" i="6" s="1"/>
  <c r="B27" i="2"/>
  <c r="E3" i="3"/>
  <c r="B31" i="2"/>
  <c r="L9" i="5"/>
  <c r="J9" i="5"/>
  <c r="H9" i="5"/>
  <c r="F9" i="5"/>
  <c r="D9" i="5"/>
  <c r="B9" i="5"/>
  <c r="G9" i="5"/>
  <c r="E9" i="5"/>
  <c r="K9" i="5"/>
  <c r="C9" i="5"/>
  <c r="I9" i="5"/>
  <c r="H10" i="4"/>
  <c r="B10" i="4"/>
  <c r="A11" i="4"/>
  <c r="C10" i="4"/>
  <c r="I9" i="3"/>
  <c r="G9" i="3"/>
  <c r="B9" i="3"/>
  <c r="A10" i="3"/>
  <c r="C9" i="3"/>
  <c r="D9" i="3" s="1"/>
  <c r="B8" i="5"/>
  <c r="C8" i="5"/>
  <c r="K14" i="5"/>
  <c r="I14" i="5"/>
  <c r="G14" i="5"/>
  <c r="E14" i="5"/>
  <c r="C14" i="5"/>
  <c r="L14" i="5"/>
  <c r="J14" i="5"/>
  <c r="H14" i="5"/>
  <c r="F14" i="5"/>
  <c r="D14" i="5"/>
  <c r="B14" i="5"/>
  <c r="C18" i="6"/>
  <c r="D19" i="6"/>
  <c r="F9" i="3" l="1"/>
  <c r="H9" i="3" s="1"/>
  <c r="E10" i="3" s="1"/>
  <c r="H11" i="4"/>
  <c r="C11" i="4"/>
  <c r="B11" i="4"/>
  <c r="A12" i="4"/>
  <c r="C6" i="6"/>
  <c r="C12" i="6" s="1"/>
  <c r="C13" i="6" s="1"/>
  <c r="D3" i="4"/>
  <c r="B28" i="2"/>
  <c r="D8" i="4"/>
  <c r="I10" i="3"/>
  <c r="G10" i="3"/>
  <c r="C10" i="3"/>
  <c r="D10" i="3" s="1"/>
  <c r="A11" i="3"/>
  <c r="B10" i="3"/>
  <c r="A19" i="6"/>
  <c r="A18" i="6"/>
  <c r="I11" i="3" l="1"/>
  <c r="G11" i="3"/>
  <c r="C11" i="3"/>
  <c r="D11" i="3" s="1"/>
  <c r="B11" i="3"/>
  <c r="A12" i="3"/>
  <c r="F10" i="3"/>
  <c r="H10" i="3" s="1"/>
  <c r="E11" i="3" s="1"/>
  <c r="G3" i="4"/>
  <c r="E8" i="4"/>
  <c r="E9" i="4"/>
  <c r="F12" i="4" s="1"/>
  <c r="G12" i="4" s="1"/>
  <c r="E10" i="4"/>
  <c r="H12" i="4"/>
  <c r="E12" i="4"/>
  <c r="C12" i="4"/>
  <c r="B12" i="4"/>
  <c r="A13" i="4"/>
  <c r="E11" i="4"/>
  <c r="F11" i="3" l="1"/>
  <c r="H11" i="3" s="1"/>
  <c r="E12" i="3" s="1"/>
  <c r="I12" i="3"/>
  <c r="G12" i="3"/>
  <c r="D12" i="3"/>
  <c r="C12" i="3"/>
  <c r="B12" i="3"/>
  <c r="A13" i="3"/>
  <c r="C20" i="6"/>
  <c r="C22" i="6" s="1"/>
  <c r="C23" i="6" s="1"/>
  <c r="D21" i="6"/>
  <c r="D22" i="6" s="1"/>
  <c r="F9" i="4"/>
  <c r="G9" i="4" s="1"/>
  <c r="D10" i="4" s="1"/>
  <c r="F8" i="4"/>
  <c r="G8" i="4" s="1"/>
  <c r="D9" i="4" s="1"/>
  <c r="F10" i="4"/>
  <c r="G10" i="4" s="1"/>
  <c r="D11" i="4" s="1"/>
  <c r="F11" i="4"/>
  <c r="G11" i="4" s="1"/>
  <c r="D12" i="4" s="1"/>
  <c r="D13" i="4"/>
  <c r="H13" i="4"/>
  <c r="E13" i="4"/>
  <c r="C13" i="4"/>
  <c r="B13" i="4"/>
  <c r="A14" i="4"/>
  <c r="F12" i="3" l="1"/>
  <c r="H12" i="3" s="1"/>
  <c r="E13" i="3" s="1"/>
  <c r="I13" i="3"/>
  <c r="G13" i="3"/>
  <c r="C13" i="3"/>
  <c r="D13" i="3" s="1"/>
  <c r="B13" i="3"/>
  <c r="A14" i="3"/>
  <c r="H14" i="4"/>
  <c r="F14" i="4"/>
  <c r="G14" i="4" s="1"/>
  <c r="D14" i="4"/>
  <c r="E14" i="4"/>
  <c r="B14" i="4"/>
  <c r="A15" i="4"/>
  <c r="C14" i="4"/>
  <c r="F13" i="4"/>
  <c r="G13" i="4" s="1"/>
  <c r="F13" i="3" l="1"/>
  <c r="H13" i="3" s="1"/>
  <c r="E14" i="3" s="1"/>
  <c r="H15" i="4"/>
  <c r="F15" i="4"/>
  <c r="G15" i="4" s="1"/>
  <c r="E15" i="4"/>
  <c r="C15" i="4"/>
  <c r="D15" i="4"/>
  <c r="B15" i="4"/>
  <c r="A16" i="4"/>
  <c r="I14" i="3"/>
  <c r="G14" i="3"/>
  <c r="C14" i="3"/>
  <c r="D14" i="3" s="1"/>
  <c r="B14" i="3"/>
  <c r="A15" i="3"/>
  <c r="F14" i="3" l="1"/>
  <c r="G15" i="3"/>
  <c r="C15" i="3"/>
  <c r="D15" i="3" s="1"/>
  <c r="B15" i="3"/>
  <c r="A16" i="3"/>
  <c r="I15" i="3"/>
  <c r="H16" i="4"/>
  <c r="E16" i="4"/>
  <c r="F16" i="4" s="1"/>
  <c r="G16" i="4" s="1"/>
  <c r="D16" i="4"/>
  <c r="C16" i="4"/>
  <c r="B16" i="4"/>
  <c r="A17" i="4"/>
  <c r="H14" i="3" l="1"/>
  <c r="E15" i="3" s="1"/>
  <c r="H17" i="4"/>
  <c r="E17" i="4"/>
  <c r="F17" i="4" s="1"/>
  <c r="G17" i="4" s="1"/>
  <c r="D17" i="4"/>
  <c r="C17" i="4"/>
  <c r="B17" i="4"/>
  <c r="A18" i="4"/>
  <c r="I16" i="3"/>
  <c r="G16" i="3"/>
  <c r="B16" i="3"/>
  <c r="A17" i="3"/>
  <c r="C16" i="3"/>
  <c r="D16" i="3" s="1"/>
  <c r="I17" i="3" l="1"/>
  <c r="G17" i="3"/>
  <c r="B17" i="3"/>
  <c r="A18" i="3"/>
  <c r="C17" i="3"/>
  <c r="D17" i="3" s="1"/>
  <c r="H18" i="4"/>
  <c r="E18" i="4"/>
  <c r="F18" i="4" s="1"/>
  <c r="G18" i="4" s="1"/>
  <c r="D18" i="4"/>
  <c r="C18" i="4"/>
  <c r="B18" i="4"/>
  <c r="A19" i="4"/>
  <c r="F15" i="3"/>
  <c r="H15" i="3" s="1"/>
  <c r="E16" i="3" s="1"/>
  <c r="F16" i="3" l="1"/>
  <c r="H16" i="3"/>
  <c r="E17" i="3" s="1"/>
  <c r="I18" i="3"/>
  <c r="G18" i="3"/>
  <c r="C18" i="3"/>
  <c r="D18" i="3" s="1"/>
  <c r="A19" i="3"/>
  <c r="B18" i="3"/>
  <c r="H19" i="4"/>
  <c r="C19" i="4"/>
  <c r="E19" i="4"/>
  <c r="F19" i="4" s="1"/>
  <c r="G19" i="4" s="1"/>
  <c r="L6" i="5" s="1"/>
  <c r="D19" i="4"/>
  <c r="B19" i="4"/>
  <c r="A20" i="4"/>
  <c r="H20" i="4" l="1"/>
  <c r="E20" i="4"/>
  <c r="F20" i="4" s="1"/>
  <c r="G20" i="4" s="1"/>
  <c r="D20" i="4"/>
  <c r="C20" i="4"/>
  <c r="A21" i="4"/>
  <c r="B20" i="4"/>
  <c r="I19" i="3"/>
  <c r="G19" i="3"/>
  <c r="C19" i="3"/>
  <c r="D19" i="3" s="1"/>
  <c r="B19" i="3"/>
  <c r="A20" i="3"/>
  <c r="F17" i="3"/>
  <c r="H17" i="3" s="1"/>
  <c r="E18" i="3" s="1"/>
  <c r="F18" i="3" l="1"/>
  <c r="H18" i="3" s="1"/>
  <c r="E19" i="3" s="1"/>
  <c r="E21" i="4"/>
  <c r="F21" i="4"/>
  <c r="G21" i="4" s="1"/>
  <c r="D21" i="4"/>
  <c r="C21" i="4"/>
  <c r="B21" i="4"/>
  <c r="A22" i="4"/>
  <c r="H21" i="4"/>
  <c r="I20" i="3"/>
  <c r="C20" i="3"/>
  <c r="B20" i="3"/>
  <c r="A21" i="3"/>
  <c r="G20" i="3"/>
  <c r="D20" i="3"/>
  <c r="F19" i="3" l="1"/>
  <c r="H19" i="3"/>
  <c r="I21" i="3"/>
  <c r="G21" i="3"/>
  <c r="C21" i="3"/>
  <c r="D21" i="3" s="1"/>
  <c r="B21" i="3"/>
  <c r="A22" i="3"/>
  <c r="H22" i="4"/>
  <c r="E22" i="4"/>
  <c r="F22" i="4" s="1"/>
  <c r="G22" i="4" s="1"/>
  <c r="D22" i="4"/>
  <c r="C22" i="4"/>
  <c r="B22" i="4"/>
  <c r="A23" i="4"/>
  <c r="I22" i="3" l="1"/>
  <c r="G22" i="3"/>
  <c r="C22" i="3"/>
  <c r="D22" i="3" s="1"/>
  <c r="B22" i="3"/>
  <c r="A23" i="3"/>
  <c r="I6" i="5"/>
  <c r="E20" i="3"/>
  <c r="H23" i="4"/>
  <c r="E23" i="4"/>
  <c r="F23" i="4" s="1"/>
  <c r="G23" i="4" s="1"/>
  <c r="C23" i="4"/>
  <c r="B23" i="4"/>
  <c r="A24" i="4"/>
  <c r="D23" i="4"/>
  <c r="F20" i="3" l="1"/>
  <c r="H20" i="3" s="1"/>
  <c r="E21" i="3" s="1"/>
  <c r="H24" i="4"/>
  <c r="E24" i="4"/>
  <c r="F24" i="4" s="1"/>
  <c r="G24" i="4" s="1"/>
  <c r="D24" i="4"/>
  <c r="C24" i="4"/>
  <c r="A25" i="4"/>
  <c r="B24" i="4"/>
  <c r="I23" i="3"/>
  <c r="G23" i="3"/>
  <c r="C23" i="3"/>
  <c r="D23" i="3" s="1"/>
  <c r="B23" i="3"/>
  <c r="A24" i="3"/>
  <c r="F21" i="3" l="1"/>
  <c r="H21" i="3" s="1"/>
  <c r="E22" i="3" s="1"/>
  <c r="I24" i="3"/>
  <c r="B24" i="3"/>
  <c r="A25" i="3"/>
  <c r="C24" i="3"/>
  <c r="D24" i="3" s="1"/>
  <c r="G24" i="3"/>
  <c r="H25" i="4"/>
  <c r="D25" i="4"/>
  <c r="C25" i="4"/>
  <c r="B25" i="4"/>
  <c r="A26" i="4"/>
  <c r="E25" i="4"/>
  <c r="F25" i="4" s="1"/>
  <c r="G25" i="4" s="1"/>
  <c r="F22" i="3" l="1"/>
  <c r="H22" i="3" s="1"/>
  <c r="E23" i="3" s="1"/>
  <c r="I25" i="3"/>
  <c r="G25" i="3"/>
  <c r="D25" i="3"/>
  <c r="C25" i="3"/>
  <c r="B25" i="3"/>
  <c r="A26" i="3"/>
  <c r="H26" i="4"/>
  <c r="E26" i="4"/>
  <c r="F26" i="4" s="1"/>
  <c r="G26" i="4" s="1"/>
  <c r="D26" i="4"/>
  <c r="B26" i="4"/>
  <c r="A27" i="4"/>
  <c r="C26" i="4"/>
  <c r="F23" i="3" l="1"/>
  <c r="H23" i="3" s="1"/>
  <c r="E24" i="3" s="1"/>
  <c r="H27" i="4"/>
  <c r="E27" i="4"/>
  <c r="F27" i="4" s="1"/>
  <c r="G27" i="4" s="1"/>
  <c r="D27" i="4"/>
  <c r="C27" i="4"/>
  <c r="B27" i="4"/>
  <c r="A28" i="4"/>
  <c r="I26" i="3"/>
  <c r="G26" i="3"/>
  <c r="D26" i="3"/>
  <c r="C26" i="3"/>
  <c r="B26" i="3"/>
  <c r="A27" i="3"/>
  <c r="F24" i="3" l="1"/>
  <c r="H24" i="3"/>
  <c r="E25" i="3" s="1"/>
  <c r="I27" i="3"/>
  <c r="G27" i="3"/>
  <c r="C27" i="3"/>
  <c r="D27" i="3" s="1"/>
  <c r="B27" i="3"/>
  <c r="A28" i="3"/>
  <c r="H28" i="4"/>
  <c r="E28" i="4"/>
  <c r="F28" i="4" s="1"/>
  <c r="G28" i="4" s="1"/>
  <c r="D28" i="4"/>
  <c r="C28" i="4"/>
  <c r="B28" i="4"/>
  <c r="A29" i="4"/>
  <c r="I28" i="3" l="1"/>
  <c r="G28" i="3"/>
  <c r="C28" i="3"/>
  <c r="D28" i="3" s="1"/>
  <c r="B28" i="3"/>
  <c r="A29" i="3"/>
  <c r="F25" i="3"/>
  <c r="H25" i="3"/>
  <c r="E26" i="3" s="1"/>
  <c r="H29" i="4"/>
  <c r="D29" i="4"/>
  <c r="E29" i="4"/>
  <c r="C29" i="4"/>
  <c r="B29" i="4"/>
  <c r="A30" i="4"/>
  <c r="F29" i="4"/>
  <c r="G29" i="4"/>
  <c r="F26" i="3" l="1"/>
  <c r="H26" i="3"/>
  <c r="E27" i="3" s="1"/>
  <c r="H30" i="4"/>
  <c r="D30" i="4"/>
  <c r="E30" i="4"/>
  <c r="F30" i="4" s="1"/>
  <c r="G30" i="4" s="1"/>
  <c r="C30" i="4"/>
  <c r="B30" i="4"/>
  <c r="A31" i="4"/>
  <c r="I29" i="3"/>
  <c r="G29" i="3"/>
  <c r="C29" i="3"/>
  <c r="D29" i="3" s="1"/>
  <c r="B29" i="3"/>
  <c r="A30" i="3"/>
  <c r="H31" i="4" l="1"/>
  <c r="E31" i="4"/>
  <c r="F31" i="4" s="1"/>
  <c r="G31" i="4" s="1"/>
  <c r="L7" i="5" s="1"/>
  <c r="D31" i="4"/>
  <c r="C31" i="4"/>
  <c r="B31" i="4"/>
  <c r="A32" i="4"/>
  <c r="F27" i="3"/>
  <c r="H27" i="3" s="1"/>
  <c r="E28" i="3" s="1"/>
  <c r="I30" i="3"/>
  <c r="G30" i="3"/>
  <c r="C30" i="3"/>
  <c r="D30" i="3" s="1"/>
  <c r="B30" i="3"/>
  <c r="A31" i="3"/>
  <c r="F28" i="3" l="1"/>
  <c r="H28" i="3" s="1"/>
  <c r="E29" i="3" s="1"/>
  <c r="G31" i="3"/>
  <c r="C31" i="3"/>
  <c r="D31" i="3" s="1"/>
  <c r="B31" i="3"/>
  <c r="A32" i="3"/>
  <c r="I31" i="3"/>
  <c r="H32" i="4"/>
  <c r="E32" i="4"/>
  <c r="F32" i="4" s="1"/>
  <c r="G32" i="4" s="1"/>
  <c r="D32" i="4"/>
  <c r="C32" i="4"/>
  <c r="B32" i="4"/>
  <c r="A33" i="4"/>
  <c r="F29" i="3" l="1"/>
  <c r="H29" i="3" s="1"/>
  <c r="E30" i="3" s="1"/>
  <c r="I32" i="3"/>
  <c r="G32" i="3"/>
  <c r="D32" i="3"/>
  <c r="B32" i="3"/>
  <c r="A33" i="3"/>
  <c r="C32" i="3"/>
  <c r="H33" i="4"/>
  <c r="E33" i="4"/>
  <c r="F33" i="4" s="1"/>
  <c r="G33" i="4" s="1"/>
  <c r="D33" i="4"/>
  <c r="C33" i="4"/>
  <c r="B33" i="4"/>
  <c r="A34" i="4"/>
  <c r="F30" i="3" l="1"/>
  <c r="H30" i="3" s="1"/>
  <c r="E31" i="3" s="1"/>
  <c r="H34" i="4"/>
  <c r="E34" i="4"/>
  <c r="F34" i="4" s="1"/>
  <c r="G34" i="4" s="1"/>
  <c r="D34" i="4"/>
  <c r="B34" i="4"/>
  <c r="A35" i="4"/>
  <c r="C34" i="4"/>
  <c r="I33" i="3"/>
  <c r="G33" i="3"/>
  <c r="B33" i="3"/>
  <c r="A34" i="3"/>
  <c r="C33" i="3"/>
  <c r="D33" i="3" s="1"/>
  <c r="F31" i="3" l="1"/>
  <c r="H31" i="3" s="1"/>
  <c r="I34" i="3"/>
  <c r="G34" i="3"/>
  <c r="D34" i="3"/>
  <c r="C34" i="3"/>
  <c r="B34" i="3"/>
  <c r="A35" i="3"/>
  <c r="H35" i="4"/>
  <c r="C35" i="4"/>
  <c r="E35" i="4"/>
  <c r="F35" i="4" s="1"/>
  <c r="G35" i="4" s="1"/>
  <c r="D35" i="4"/>
  <c r="B35" i="4"/>
  <c r="A36" i="4"/>
  <c r="I7" i="5" l="1"/>
  <c r="J6" i="5"/>
  <c r="K6" i="5" s="1"/>
  <c r="E32" i="3"/>
  <c r="I35" i="3"/>
  <c r="G35" i="3"/>
  <c r="D35" i="3"/>
  <c r="C35" i="3"/>
  <c r="B35" i="3"/>
  <c r="A36" i="3"/>
  <c r="H36" i="4"/>
  <c r="E36" i="4"/>
  <c r="F36" i="4" s="1"/>
  <c r="G36" i="4" s="1"/>
  <c r="D36" i="4"/>
  <c r="C36" i="4"/>
  <c r="A37" i="4"/>
  <c r="B36" i="4"/>
  <c r="E37" i="4" l="1"/>
  <c r="H37" i="4"/>
  <c r="F37" i="4"/>
  <c r="G37" i="4" s="1"/>
  <c r="D37" i="4"/>
  <c r="C37" i="4"/>
  <c r="B37" i="4"/>
  <c r="A38" i="4"/>
  <c r="I36" i="3"/>
  <c r="C36" i="3"/>
  <c r="B36" i="3"/>
  <c r="A37" i="3"/>
  <c r="G36" i="3"/>
  <c r="D36" i="3"/>
  <c r="F32" i="3"/>
  <c r="H32" i="3" s="1"/>
  <c r="E33" i="3" s="1"/>
  <c r="F33" i="3" l="1"/>
  <c r="H33" i="3" s="1"/>
  <c r="E34" i="3" s="1"/>
  <c r="I37" i="3"/>
  <c r="G37" i="3"/>
  <c r="C37" i="3"/>
  <c r="D37" i="3" s="1"/>
  <c r="B37" i="3"/>
  <c r="A38" i="3"/>
  <c r="H38" i="4"/>
  <c r="F38" i="4"/>
  <c r="G38" i="4" s="1"/>
  <c r="E38" i="4"/>
  <c r="D38" i="4"/>
  <c r="C38" i="4"/>
  <c r="B38" i="4"/>
  <c r="A39" i="4"/>
  <c r="H39" i="4" l="1"/>
  <c r="E39" i="4"/>
  <c r="F39" i="4" s="1"/>
  <c r="G39" i="4" s="1"/>
  <c r="C39" i="4"/>
  <c r="B39" i="4"/>
  <c r="A40" i="4"/>
  <c r="D39" i="4"/>
  <c r="I38" i="3"/>
  <c r="G38" i="3"/>
  <c r="C38" i="3"/>
  <c r="D38" i="3" s="1"/>
  <c r="B38" i="3"/>
  <c r="A39" i="3"/>
  <c r="F34" i="3"/>
  <c r="H34" i="3" s="1"/>
  <c r="E35" i="3" s="1"/>
  <c r="H40" i="4" l="1"/>
  <c r="E40" i="4"/>
  <c r="F40" i="4" s="1"/>
  <c r="G40" i="4" s="1"/>
  <c r="D40" i="4"/>
  <c r="C40" i="4"/>
  <c r="A41" i="4"/>
  <c r="B40" i="4"/>
  <c r="F35" i="3"/>
  <c r="H35" i="3" s="1"/>
  <c r="E36" i="3" s="1"/>
  <c r="I39" i="3"/>
  <c r="G39" i="3"/>
  <c r="C39" i="3"/>
  <c r="D39" i="3" s="1"/>
  <c r="B39" i="3"/>
  <c r="A40" i="3"/>
  <c r="F36" i="3" l="1"/>
  <c r="H36" i="3" s="1"/>
  <c r="E37" i="3" s="1"/>
  <c r="H41" i="4"/>
  <c r="D41" i="4"/>
  <c r="C41" i="4"/>
  <c r="B41" i="4"/>
  <c r="A42" i="4"/>
  <c r="E41" i="4"/>
  <c r="F41" i="4" s="1"/>
  <c r="G41" i="4" s="1"/>
  <c r="I40" i="3"/>
  <c r="B40" i="3"/>
  <c r="A41" i="3"/>
  <c r="C40" i="3"/>
  <c r="D40" i="3" s="1"/>
  <c r="G40" i="3"/>
  <c r="F37" i="3" l="1"/>
  <c r="H37" i="3" s="1"/>
  <c r="E38" i="3" s="1"/>
  <c r="I41" i="3"/>
  <c r="G41" i="3"/>
  <c r="C41" i="3"/>
  <c r="D41" i="3" s="1"/>
  <c r="B41" i="3"/>
  <c r="A42" i="3"/>
  <c r="H42" i="4"/>
  <c r="E42" i="4"/>
  <c r="F42" i="4" s="1"/>
  <c r="G42" i="4" s="1"/>
  <c r="D42" i="4"/>
  <c r="B42" i="4"/>
  <c r="A43" i="4"/>
  <c r="C42" i="4"/>
  <c r="I42" i="3" l="1"/>
  <c r="G42" i="3"/>
  <c r="C42" i="3"/>
  <c r="D42" i="3" s="1"/>
  <c r="B42" i="3"/>
  <c r="A43" i="3"/>
  <c r="F38" i="3"/>
  <c r="H38" i="3" s="1"/>
  <c r="E39" i="3" s="1"/>
  <c r="H43" i="4"/>
  <c r="E43" i="4"/>
  <c r="F43" i="4" s="1"/>
  <c r="G43" i="4" s="1"/>
  <c r="D43" i="4"/>
  <c r="C43" i="4"/>
  <c r="B43" i="4"/>
  <c r="A44" i="4"/>
  <c r="D4" i="4" l="1"/>
  <c r="L8" i="5"/>
  <c r="F39" i="3"/>
  <c r="H39" i="3" s="1"/>
  <c r="E40" i="3" s="1"/>
  <c r="H44" i="4"/>
  <c r="G44" i="4"/>
  <c r="F44" i="4"/>
  <c r="E44" i="4"/>
  <c r="D44" i="4"/>
  <c r="C44" i="4"/>
  <c r="B44" i="4"/>
  <c r="A45" i="4"/>
  <c r="I43" i="3"/>
  <c r="G43" i="3"/>
  <c r="C43" i="3"/>
  <c r="D43" i="3" s="1"/>
  <c r="B43" i="3"/>
  <c r="A44" i="3"/>
  <c r="F40" i="3" l="1"/>
  <c r="H40" i="3" s="1"/>
  <c r="E41" i="3" s="1"/>
  <c r="G45" i="4"/>
  <c r="D45" i="4"/>
  <c r="H45" i="4"/>
  <c r="E45" i="4"/>
  <c r="C45" i="4"/>
  <c r="B45" i="4"/>
  <c r="A46" i="4"/>
  <c r="F45" i="4"/>
  <c r="I44" i="3"/>
  <c r="H44" i="3"/>
  <c r="F44" i="3"/>
  <c r="E44" i="3"/>
  <c r="G44" i="3"/>
  <c r="D44" i="3"/>
  <c r="B44" i="3"/>
  <c r="A45" i="3"/>
  <c r="C44" i="3"/>
  <c r="I45" i="3" l="1"/>
  <c r="H45" i="3"/>
  <c r="F45" i="3"/>
  <c r="G45" i="3"/>
  <c r="D45" i="3"/>
  <c r="E45" i="3"/>
  <c r="B45" i="3"/>
  <c r="A46" i="3"/>
  <c r="C45" i="3"/>
  <c r="F41" i="3"/>
  <c r="H41" i="3" s="1"/>
  <c r="E42" i="3" s="1"/>
  <c r="H46" i="4"/>
  <c r="G46" i="4"/>
  <c r="F46" i="4"/>
  <c r="D46" i="4"/>
  <c r="C46" i="4"/>
  <c r="B46" i="4"/>
  <c r="A47" i="4"/>
  <c r="E46" i="4"/>
  <c r="F42" i="3" l="1"/>
  <c r="H42" i="3" s="1"/>
  <c r="E43" i="3" s="1"/>
  <c r="I46" i="3"/>
  <c r="H46" i="3"/>
  <c r="F46" i="3"/>
  <c r="E46" i="3"/>
  <c r="G46" i="3"/>
  <c r="D46" i="3"/>
  <c r="C46" i="3"/>
  <c r="B46" i="3"/>
  <c r="A47" i="3"/>
  <c r="H47" i="4"/>
  <c r="G47" i="4"/>
  <c r="F47" i="4"/>
  <c r="E47" i="4"/>
  <c r="D47" i="4"/>
  <c r="C47" i="4"/>
  <c r="B47" i="4"/>
  <c r="A48" i="4"/>
  <c r="F43" i="3" l="1"/>
  <c r="H43" i="3" s="1"/>
  <c r="H47" i="3"/>
  <c r="F47" i="3"/>
  <c r="E47" i="3"/>
  <c r="G47" i="3"/>
  <c r="D47" i="3"/>
  <c r="C47" i="3"/>
  <c r="I47" i="3"/>
  <c r="B47" i="3"/>
  <c r="A48" i="3"/>
  <c r="H48" i="4"/>
  <c r="G48" i="4"/>
  <c r="F48" i="4"/>
  <c r="D48" i="4"/>
  <c r="E48" i="4"/>
  <c r="C48" i="4"/>
  <c r="B48" i="4"/>
  <c r="A49" i="4"/>
  <c r="E4" i="3" l="1"/>
  <c r="E5" i="3" s="1"/>
  <c r="I8" i="5"/>
  <c r="J7" i="5"/>
  <c r="K7" i="5" s="1"/>
  <c r="I48" i="3"/>
  <c r="H48" i="3"/>
  <c r="F48" i="3"/>
  <c r="E48" i="3"/>
  <c r="G48" i="3"/>
  <c r="D48" i="3"/>
  <c r="C48" i="3"/>
  <c r="B48" i="3"/>
  <c r="A49" i="3"/>
  <c r="H49" i="4"/>
  <c r="G49" i="4"/>
  <c r="F49" i="4"/>
  <c r="D49" i="4"/>
  <c r="E49" i="4"/>
  <c r="C49" i="4"/>
  <c r="B49" i="4"/>
  <c r="A50" i="4"/>
  <c r="H50" i="4" l="1"/>
  <c r="G50" i="4"/>
  <c r="F50" i="4"/>
  <c r="D50" i="4"/>
  <c r="E50" i="4"/>
  <c r="B50" i="4"/>
  <c r="A51" i="4"/>
  <c r="C50" i="4"/>
  <c r="I49" i="3"/>
  <c r="H49" i="3"/>
  <c r="F49" i="3"/>
  <c r="G49" i="3"/>
  <c r="D49" i="3"/>
  <c r="C49" i="3"/>
  <c r="B49" i="3"/>
  <c r="A50" i="3"/>
  <c r="E49" i="3"/>
  <c r="J8" i="5"/>
  <c r="K8" i="5" s="1"/>
  <c r="H51" i="4" l="1"/>
  <c r="G51" i="4"/>
  <c r="F51" i="4"/>
  <c r="E51" i="4"/>
  <c r="C51" i="4"/>
  <c r="D51" i="4"/>
  <c r="B51" i="4"/>
  <c r="A52" i="4"/>
  <c r="I50" i="3"/>
  <c r="H50" i="3"/>
  <c r="F50" i="3"/>
  <c r="E50" i="3"/>
  <c r="G50" i="3"/>
  <c r="D50" i="3"/>
  <c r="C50" i="3"/>
  <c r="B50" i="3"/>
  <c r="A51" i="3"/>
  <c r="H52" i="4" l="1"/>
  <c r="G52" i="4"/>
  <c r="F52" i="4"/>
  <c r="D52" i="4"/>
  <c r="E52" i="4"/>
  <c r="C52" i="4"/>
  <c r="A53" i="4"/>
  <c r="B52" i="4"/>
  <c r="I51" i="3"/>
  <c r="E51" i="3"/>
  <c r="H51" i="3"/>
  <c r="G51" i="3"/>
  <c r="D51" i="3"/>
  <c r="C51" i="3"/>
  <c r="B51" i="3"/>
  <c r="A52" i="3"/>
  <c r="F51" i="3"/>
  <c r="F53" i="4" l="1"/>
  <c r="D53" i="4"/>
  <c r="G53" i="4"/>
  <c r="E53" i="4"/>
  <c r="C53" i="4"/>
  <c r="H53" i="4"/>
  <c r="B53" i="4"/>
  <c r="A54" i="4"/>
  <c r="I52" i="3"/>
  <c r="H52" i="3"/>
  <c r="F52" i="3"/>
  <c r="E52" i="3"/>
  <c r="C52" i="3"/>
  <c r="B52" i="3"/>
  <c r="A53" i="3"/>
  <c r="G52" i="3"/>
  <c r="D52" i="3"/>
  <c r="H54" i="4" l="1"/>
  <c r="G54" i="4"/>
  <c r="F54" i="4"/>
  <c r="D54" i="4"/>
  <c r="E54" i="4"/>
  <c r="C54" i="4"/>
  <c r="B54" i="4"/>
  <c r="A55" i="4"/>
  <c r="I53" i="3"/>
  <c r="H53" i="3"/>
  <c r="F53" i="3"/>
  <c r="G53" i="3"/>
  <c r="D53" i="3"/>
  <c r="E53" i="3"/>
  <c r="C53" i="3"/>
  <c r="B53" i="3"/>
  <c r="A54" i="3"/>
  <c r="H55" i="4" l="1"/>
  <c r="G55" i="4"/>
  <c r="F55" i="4"/>
  <c r="E55" i="4"/>
  <c r="C55" i="4"/>
  <c r="B55" i="4"/>
  <c r="A56" i="4"/>
  <c r="D55" i="4"/>
  <c r="I54" i="3"/>
  <c r="H54" i="3"/>
  <c r="F54" i="3"/>
  <c r="E54" i="3"/>
  <c r="G54" i="3"/>
  <c r="D54" i="3"/>
  <c r="A55" i="3"/>
  <c r="C54" i="3"/>
  <c r="B54" i="3"/>
  <c r="I55" i="3" l="1"/>
  <c r="F55" i="3"/>
  <c r="E55" i="3"/>
  <c r="G55" i="3"/>
  <c r="D55" i="3"/>
  <c r="C55" i="3"/>
  <c r="H55" i="3"/>
  <c r="B55" i="3"/>
  <c r="A56" i="3"/>
  <c r="H56" i="4"/>
  <c r="G56" i="4"/>
  <c r="F56" i="4"/>
  <c r="D56" i="4"/>
  <c r="E56" i="4"/>
  <c r="C56" i="4"/>
  <c r="A57" i="4"/>
  <c r="B56" i="4"/>
  <c r="H57" i="4" l="1"/>
  <c r="G57" i="4"/>
  <c r="D57" i="4"/>
  <c r="F57" i="4"/>
  <c r="E57" i="4"/>
  <c r="C57" i="4"/>
  <c r="B57" i="4"/>
  <c r="A58" i="4"/>
  <c r="I56" i="3"/>
  <c r="H56" i="3"/>
  <c r="F56" i="3"/>
  <c r="E56" i="3"/>
  <c r="B56" i="3"/>
  <c r="A57" i="3"/>
  <c r="D56" i="3"/>
  <c r="G56" i="3"/>
  <c r="C56" i="3"/>
  <c r="I57" i="3" l="1"/>
  <c r="H57" i="3"/>
  <c r="F57" i="3"/>
  <c r="G57" i="3"/>
  <c r="D57" i="3"/>
  <c r="C57" i="3"/>
  <c r="E57" i="3"/>
  <c r="B57" i="3"/>
  <c r="A58" i="3"/>
  <c r="H58" i="4"/>
  <c r="G58" i="4"/>
  <c r="F58" i="4"/>
  <c r="D58" i="4"/>
  <c r="B58" i="4"/>
  <c r="A59" i="4"/>
  <c r="E58" i="4"/>
  <c r="C58" i="4"/>
  <c r="H59" i="4" l="1"/>
  <c r="G59" i="4"/>
  <c r="F59" i="4"/>
  <c r="E59" i="4"/>
  <c r="D59" i="4"/>
  <c r="C59" i="4"/>
  <c r="B59" i="4"/>
  <c r="A60" i="4"/>
  <c r="I58" i="3"/>
  <c r="H58" i="3"/>
  <c r="F58" i="3"/>
  <c r="E58" i="3"/>
  <c r="G58" i="3"/>
  <c r="D58" i="3"/>
  <c r="C58" i="3"/>
  <c r="B58" i="3"/>
  <c r="A59" i="3"/>
  <c r="H60" i="4" l="1"/>
  <c r="G60" i="4"/>
  <c r="F60" i="4"/>
  <c r="D60" i="4"/>
  <c r="E60" i="4"/>
  <c r="C60" i="4"/>
  <c r="B60" i="4"/>
  <c r="A61" i="4"/>
  <c r="H59" i="3"/>
  <c r="E59" i="3"/>
  <c r="I59" i="3"/>
  <c r="G59" i="3"/>
  <c r="D59" i="3"/>
  <c r="C59" i="3"/>
  <c r="B59" i="3"/>
  <c r="A60" i="3"/>
  <c r="F59" i="3"/>
  <c r="H61" i="4" l="1"/>
  <c r="D61" i="4"/>
  <c r="E61" i="4"/>
  <c r="C61" i="4"/>
  <c r="G61" i="4"/>
  <c r="B61" i="4"/>
  <c r="A62" i="4"/>
  <c r="F61" i="4"/>
  <c r="I60" i="3"/>
  <c r="H60" i="3"/>
  <c r="F60" i="3"/>
  <c r="E60" i="3"/>
  <c r="G60" i="3"/>
  <c r="D60" i="3"/>
  <c r="B60" i="3"/>
  <c r="A61" i="3"/>
  <c r="C60" i="3"/>
  <c r="H62" i="4" l="1"/>
  <c r="G62" i="4"/>
  <c r="F62" i="4"/>
  <c r="D62" i="4"/>
  <c r="C62" i="4"/>
  <c r="B62" i="4"/>
  <c r="A63" i="4"/>
  <c r="E62" i="4"/>
  <c r="I61" i="3"/>
  <c r="H61" i="3"/>
  <c r="F61" i="3"/>
  <c r="G61" i="3"/>
  <c r="D61" i="3"/>
  <c r="C61" i="3"/>
  <c r="E61" i="3"/>
  <c r="B61" i="3"/>
  <c r="A62" i="3"/>
  <c r="H63" i="4" l="1"/>
  <c r="G63" i="4"/>
  <c r="F63" i="4"/>
  <c r="E63" i="4"/>
  <c r="D63" i="4"/>
  <c r="C63" i="4"/>
  <c r="B63" i="4"/>
  <c r="A64" i="4"/>
  <c r="I62" i="3"/>
  <c r="H62" i="3"/>
  <c r="E62" i="3"/>
  <c r="F62" i="3"/>
  <c r="G62" i="3"/>
  <c r="D62" i="3"/>
  <c r="C62" i="3"/>
  <c r="A63" i="3"/>
  <c r="B62" i="3"/>
  <c r="H63" i="3" l="1"/>
  <c r="E63" i="3"/>
  <c r="F63" i="3"/>
  <c r="G63" i="3"/>
  <c r="D63" i="3"/>
  <c r="C63" i="3"/>
  <c r="B63" i="3"/>
  <c r="A64" i="3"/>
  <c r="I63" i="3"/>
  <c r="H64" i="4"/>
  <c r="G64" i="4"/>
  <c r="F64" i="4"/>
  <c r="D64" i="4"/>
  <c r="E64" i="4"/>
  <c r="C64" i="4"/>
  <c r="B64" i="4"/>
  <c r="A65" i="4"/>
  <c r="I64" i="3" l="1"/>
  <c r="H64" i="3"/>
  <c r="E64" i="3"/>
  <c r="G64" i="3"/>
  <c r="D64" i="3"/>
  <c r="C64" i="3"/>
  <c r="B64" i="3"/>
  <c r="A65" i="3"/>
  <c r="F64" i="3"/>
  <c r="H65" i="4"/>
  <c r="G65" i="4"/>
  <c r="F65" i="4"/>
  <c r="D65" i="4"/>
  <c r="E65" i="4"/>
  <c r="C65" i="4"/>
  <c r="B65" i="4"/>
  <c r="A66" i="4"/>
  <c r="I65" i="3" l="1"/>
  <c r="H65" i="3"/>
  <c r="F65" i="3"/>
  <c r="G65" i="3"/>
  <c r="D65" i="3"/>
  <c r="C65" i="3"/>
  <c r="B65" i="3"/>
  <c r="A66" i="3"/>
  <c r="E65" i="3"/>
  <c r="H66" i="4"/>
  <c r="G66" i="4"/>
  <c r="F66" i="4"/>
  <c r="D66" i="4"/>
  <c r="E66" i="4"/>
  <c r="B66" i="4"/>
  <c r="A67" i="4"/>
  <c r="C66" i="4"/>
  <c r="H67" i="4" l="1"/>
  <c r="G67" i="4"/>
  <c r="F67" i="4"/>
  <c r="E67" i="4"/>
  <c r="C67" i="4"/>
  <c r="D67" i="4"/>
  <c r="B67" i="4"/>
  <c r="A68" i="4"/>
  <c r="I66" i="3"/>
  <c r="H66" i="3"/>
  <c r="E66" i="3"/>
  <c r="F66" i="3"/>
  <c r="G66" i="3"/>
  <c r="D66" i="3"/>
  <c r="C66" i="3"/>
  <c r="B66" i="3"/>
  <c r="A67" i="3"/>
  <c r="H68" i="4" l="1"/>
  <c r="G68" i="4"/>
  <c r="F68" i="4"/>
  <c r="D68" i="4"/>
  <c r="E68" i="4"/>
  <c r="C68" i="4"/>
  <c r="A69" i="4"/>
  <c r="B68" i="4"/>
  <c r="I67" i="3"/>
  <c r="E67" i="3"/>
  <c r="H67" i="3"/>
  <c r="F67" i="3"/>
  <c r="G67" i="3"/>
  <c r="D67" i="3"/>
  <c r="C67" i="3"/>
  <c r="B67" i="3"/>
  <c r="A68" i="3"/>
  <c r="G69" i="4" l="1"/>
  <c r="H69" i="4"/>
  <c r="F69" i="4"/>
  <c r="D69" i="4"/>
  <c r="E69" i="4"/>
  <c r="C69" i="4"/>
  <c r="B69" i="4"/>
  <c r="A70" i="4"/>
  <c r="I68" i="3"/>
  <c r="H68" i="3"/>
  <c r="E68" i="3"/>
  <c r="F68" i="3"/>
  <c r="C68" i="3"/>
  <c r="B68" i="3"/>
  <c r="A69" i="3"/>
  <c r="G68" i="3"/>
  <c r="D68" i="3"/>
  <c r="H70" i="4" l="1"/>
  <c r="G70" i="4"/>
  <c r="F70" i="4"/>
  <c r="D70" i="4"/>
  <c r="E70" i="4"/>
  <c r="C70" i="4"/>
  <c r="B70" i="4"/>
  <c r="A71" i="4"/>
  <c r="I69" i="3"/>
  <c r="H69" i="3"/>
  <c r="F69" i="3"/>
  <c r="G69" i="3"/>
  <c r="D69" i="3"/>
  <c r="E69" i="3"/>
  <c r="C69" i="3"/>
  <c r="B69" i="3"/>
  <c r="A70" i="3"/>
  <c r="H71" i="4" l="1"/>
  <c r="G71" i="4"/>
  <c r="F71" i="4"/>
  <c r="E71" i="4"/>
  <c r="C71" i="4"/>
  <c r="B71" i="4"/>
  <c r="A72" i="4"/>
  <c r="D71" i="4"/>
  <c r="I70" i="3"/>
  <c r="H70" i="3"/>
  <c r="E70" i="3"/>
  <c r="F70" i="3"/>
  <c r="G70" i="3"/>
  <c r="D70" i="3"/>
  <c r="C70" i="3"/>
  <c r="B70" i="3"/>
  <c r="A71" i="3"/>
  <c r="H72" i="4" l="1"/>
  <c r="G72" i="4"/>
  <c r="F72" i="4"/>
  <c r="D72" i="4"/>
  <c r="E72" i="4"/>
  <c r="C72" i="4"/>
  <c r="A73" i="4"/>
  <c r="B72" i="4"/>
  <c r="I71" i="3"/>
  <c r="E71" i="3"/>
  <c r="F71" i="3"/>
  <c r="G71" i="3"/>
  <c r="D71" i="3"/>
  <c r="C71" i="3"/>
  <c r="B71" i="3"/>
  <c r="A72" i="3"/>
  <c r="H71" i="3"/>
  <c r="I72" i="3" l="1"/>
  <c r="H72" i="3"/>
  <c r="E72" i="3"/>
  <c r="F72" i="3"/>
  <c r="C72" i="3"/>
  <c r="B72" i="3"/>
  <c r="A73" i="3"/>
  <c r="D72" i="3"/>
  <c r="G72" i="3"/>
  <c r="H73" i="4"/>
  <c r="G73" i="4"/>
  <c r="D73" i="4"/>
  <c r="F73" i="4"/>
  <c r="E73" i="4"/>
  <c r="C73" i="4"/>
  <c r="B73" i="4"/>
  <c r="A74" i="4"/>
  <c r="I73" i="3" l="1"/>
  <c r="H73" i="3"/>
  <c r="F73" i="3"/>
  <c r="G73" i="3"/>
  <c r="D73" i="3"/>
  <c r="E73" i="3"/>
  <c r="C73" i="3"/>
  <c r="B73" i="3"/>
  <c r="A74" i="3"/>
  <c r="H74" i="4"/>
  <c r="F74" i="4"/>
  <c r="G74" i="4"/>
  <c r="D74" i="4"/>
  <c r="B74" i="4"/>
  <c r="A75" i="4"/>
  <c r="E74" i="4"/>
  <c r="C74" i="4"/>
  <c r="H75" i="4" l="1"/>
  <c r="G75" i="4"/>
  <c r="F75" i="4"/>
  <c r="E75" i="4"/>
  <c r="D75" i="4"/>
  <c r="C75" i="4"/>
  <c r="B75" i="4"/>
  <c r="A76" i="4"/>
  <c r="I74" i="3"/>
  <c r="H74" i="3"/>
  <c r="E74" i="3"/>
  <c r="F74" i="3"/>
  <c r="G74" i="3"/>
  <c r="D74" i="3"/>
  <c r="B74" i="3"/>
  <c r="C74" i="3"/>
  <c r="A75" i="3"/>
  <c r="H75" i="3" l="1"/>
  <c r="E75" i="3"/>
  <c r="I75" i="3"/>
  <c r="F75" i="3"/>
  <c r="G75" i="3"/>
  <c r="D75" i="3"/>
  <c r="C75" i="3"/>
  <c r="B75" i="3"/>
  <c r="A76" i="3"/>
  <c r="H76" i="4"/>
  <c r="F76" i="4"/>
  <c r="D76" i="4"/>
  <c r="G76" i="4"/>
  <c r="E76" i="4"/>
  <c r="C76" i="4"/>
  <c r="B76" i="4"/>
  <c r="A77" i="4"/>
  <c r="G77" i="4" l="1"/>
  <c r="D77" i="4"/>
  <c r="H77" i="4"/>
  <c r="E77" i="4"/>
  <c r="C77" i="4"/>
  <c r="F77" i="4"/>
  <c r="B77" i="4"/>
  <c r="A78" i="4"/>
  <c r="I76" i="3"/>
  <c r="H76" i="3"/>
  <c r="E76" i="3"/>
  <c r="G76" i="3"/>
  <c r="D76" i="3"/>
  <c r="C76" i="3"/>
  <c r="B76" i="3"/>
  <c r="A77" i="3"/>
  <c r="F76" i="3"/>
  <c r="H78" i="4" l="1"/>
  <c r="G78" i="4"/>
  <c r="F78" i="4"/>
  <c r="D78" i="4"/>
  <c r="C78" i="4"/>
  <c r="B78" i="4"/>
  <c r="A79" i="4"/>
  <c r="E78" i="4"/>
  <c r="I77" i="3"/>
  <c r="H77" i="3"/>
  <c r="F77" i="3"/>
  <c r="G77" i="3"/>
  <c r="D77" i="3"/>
  <c r="E77" i="3"/>
  <c r="C77" i="3"/>
  <c r="B77" i="3"/>
  <c r="A78" i="3"/>
  <c r="I78" i="3" l="1"/>
  <c r="H78" i="3"/>
  <c r="E78" i="3"/>
  <c r="F78" i="3"/>
  <c r="G78" i="3"/>
  <c r="D78" i="3"/>
  <c r="A79" i="3"/>
  <c r="C78" i="3"/>
  <c r="B78" i="3"/>
  <c r="H79" i="4"/>
  <c r="G79" i="4"/>
  <c r="F79" i="4"/>
  <c r="E79" i="4"/>
  <c r="D79" i="4"/>
  <c r="C79" i="4"/>
  <c r="B79" i="4"/>
  <c r="A80" i="4"/>
  <c r="H79" i="3" l="1"/>
  <c r="E79" i="3"/>
  <c r="F79" i="3"/>
  <c r="G79" i="3"/>
  <c r="D79" i="3"/>
  <c r="C79" i="3"/>
  <c r="B79" i="3"/>
  <c r="A80" i="3"/>
  <c r="I79" i="3"/>
  <c r="H80" i="4"/>
  <c r="G80" i="4"/>
  <c r="F80" i="4"/>
  <c r="D80" i="4"/>
  <c r="E80" i="4"/>
  <c r="C80" i="4"/>
  <c r="B80" i="4"/>
  <c r="A81" i="4"/>
  <c r="I80" i="3" l="1"/>
  <c r="H80" i="3"/>
  <c r="E80" i="3"/>
  <c r="G80" i="3"/>
  <c r="D80" i="3"/>
  <c r="C80" i="3"/>
  <c r="B80" i="3"/>
  <c r="A81" i="3"/>
  <c r="F80" i="3"/>
  <c r="H81" i="4"/>
  <c r="F81" i="4"/>
  <c r="D81" i="4"/>
  <c r="G81" i="4"/>
  <c r="E81" i="4"/>
  <c r="C81" i="4"/>
  <c r="B81" i="4"/>
  <c r="A82" i="4"/>
  <c r="H82" i="4" l="1"/>
  <c r="G82" i="4"/>
  <c r="F82" i="4"/>
  <c r="D82" i="4"/>
  <c r="E82" i="4"/>
  <c r="B82" i="4"/>
  <c r="A83" i="4"/>
  <c r="C82" i="4"/>
  <c r="I81" i="3"/>
  <c r="H81" i="3"/>
  <c r="F81" i="3"/>
  <c r="G81" i="3"/>
  <c r="D81" i="3"/>
  <c r="C81" i="3"/>
  <c r="B81" i="3"/>
  <c r="A82" i="3"/>
  <c r="E81" i="3"/>
  <c r="H83" i="4" l="1"/>
  <c r="G83" i="4"/>
  <c r="F83" i="4"/>
  <c r="E83" i="4"/>
  <c r="C83" i="4"/>
  <c r="D83" i="4"/>
  <c r="B83" i="4"/>
  <c r="A84" i="4"/>
  <c r="I82" i="3"/>
  <c r="H82" i="3"/>
  <c r="E82" i="3"/>
  <c r="F82" i="3"/>
  <c r="G82" i="3"/>
  <c r="D82" i="3"/>
  <c r="A83" i="3"/>
  <c r="C82" i="3"/>
  <c r="B82" i="3"/>
  <c r="I83" i="3" l="1"/>
  <c r="E83" i="3"/>
  <c r="F83" i="3"/>
  <c r="G83" i="3"/>
  <c r="D83" i="3"/>
  <c r="C83" i="3"/>
  <c r="B83" i="3"/>
  <c r="A84" i="3"/>
  <c r="H83" i="3"/>
  <c r="H84" i="4"/>
  <c r="G84" i="4"/>
  <c r="F84" i="4"/>
  <c r="D84" i="4"/>
  <c r="E84" i="4"/>
  <c r="C84" i="4"/>
  <c r="A85" i="4"/>
  <c r="B84" i="4"/>
  <c r="D85" i="4" l="1"/>
  <c r="E85" i="4"/>
  <c r="C85" i="4"/>
  <c r="B85" i="4"/>
  <c r="A86" i="4"/>
  <c r="H85" i="4"/>
  <c r="G85" i="4"/>
  <c r="F85" i="4"/>
  <c r="I84" i="3"/>
  <c r="H84" i="3"/>
  <c r="E84" i="3"/>
  <c r="F84" i="3"/>
  <c r="C84" i="3"/>
  <c r="B84" i="3"/>
  <c r="A85" i="3"/>
  <c r="G84" i="3"/>
  <c r="D84" i="3"/>
  <c r="I85" i="3" l="1"/>
  <c r="H85" i="3"/>
  <c r="F85" i="3"/>
  <c r="G85" i="3"/>
  <c r="D85" i="3"/>
  <c r="E85" i="3"/>
  <c r="C85" i="3"/>
  <c r="B85" i="3"/>
  <c r="A86" i="3"/>
  <c r="H86" i="4"/>
  <c r="G86" i="4"/>
  <c r="F86" i="4"/>
  <c r="D86" i="4"/>
  <c r="E86" i="4"/>
  <c r="C86" i="4"/>
  <c r="B86" i="4"/>
  <c r="A87" i="4"/>
  <c r="H87" i="4" l="1"/>
  <c r="G87" i="4"/>
  <c r="F87" i="4"/>
  <c r="E87" i="4"/>
  <c r="C87" i="4"/>
  <c r="B87" i="4"/>
  <c r="A88" i="4"/>
  <c r="D87" i="4"/>
  <c r="I86" i="3"/>
  <c r="H86" i="3"/>
  <c r="E86" i="3"/>
  <c r="F86" i="3"/>
  <c r="G86" i="3"/>
  <c r="D86" i="3"/>
  <c r="A87" i="3"/>
  <c r="C86" i="3"/>
  <c r="B86" i="3"/>
  <c r="I87" i="3" l="1"/>
  <c r="H87" i="3"/>
  <c r="E87" i="3"/>
  <c r="F87" i="3"/>
  <c r="G87" i="3"/>
  <c r="D87" i="3"/>
  <c r="C87" i="3"/>
  <c r="B87" i="3"/>
  <c r="A88" i="3"/>
  <c r="H88" i="4"/>
  <c r="G88" i="4"/>
  <c r="F88" i="4"/>
  <c r="D88" i="4"/>
  <c r="E88" i="4"/>
  <c r="C88" i="4"/>
  <c r="A89" i="4"/>
  <c r="B88" i="4"/>
  <c r="H89" i="4" l="1"/>
  <c r="G89" i="4"/>
  <c r="F89" i="4"/>
  <c r="D89" i="4"/>
  <c r="E89" i="4"/>
  <c r="C89" i="4"/>
  <c r="B89" i="4"/>
  <c r="A90" i="4"/>
  <c r="I88" i="3"/>
  <c r="H88" i="3"/>
  <c r="E88" i="3"/>
  <c r="F88" i="3"/>
  <c r="C88" i="3"/>
  <c r="B88" i="3"/>
  <c r="A89" i="3"/>
  <c r="G88" i="3"/>
  <c r="D88" i="3"/>
  <c r="H90" i="4" l="1"/>
  <c r="G90" i="4"/>
  <c r="F90" i="4"/>
  <c r="D90" i="4"/>
  <c r="B90" i="4"/>
  <c r="A91" i="4"/>
  <c r="E90" i="4"/>
  <c r="C90" i="4"/>
  <c r="I89" i="3"/>
  <c r="H89" i="3"/>
  <c r="F89" i="3"/>
  <c r="G89" i="3"/>
  <c r="D89" i="3"/>
  <c r="E89" i="3"/>
  <c r="C89" i="3"/>
  <c r="B89" i="3"/>
  <c r="A90" i="3"/>
  <c r="H91" i="4" l="1"/>
  <c r="G91" i="4"/>
  <c r="F91" i="4"/>
  <c r="E91" i="4"/>
  <c r="D91" i="4"/>
  <c r="C91" i="4"/>
  <c r="B91" i="4"/>
  <c r="A92" i="4"/>
  <c r="I90" i="3"/>
  <c r="H90" i="3"/>
  <c r="E90" i="3"/>
  <c r="F90" i="3"/>
  <c r="G90" i="3"/>
  <c r="D90" i="3"/>
  <c r="A91" i="3"/>
  <c r="C90" i="3"/>
  <c r="B90" i="3"/>
  <c r="E91" i="3" l="1"/>
  <c r="I91" i="3"/>
  <c r="F91" i="3"/>
  <c r="G91" i="3"/>
  <c r="D91" i="3"/>
  <c r="C91" i="3"/>
  <c r="B91" i="3"/>
  <c r="A92" i="3"/>
  <c r="H91" i="3"/>
  <c r="H92" i="4"/>
  <c r="G92" i="4"/>
  <c r="F92" i="4"/>
  <c r="D92" i="4"/>
  <c r="E92" i="4"/>
  <c r="C92" i="4"/>
  <c r="B92" i="4"/>
  <c r="A93" i="4"/>
  <c r="I92" i="3" l="1"/>
  <c r="H92" i="3"/>
  <c r="E92" i="3"/>
  <c r="G92" i="3"/>
  <c r="D92" i="3"/>
  <c r="C92" i="3"/>
  <c r="B92" i="3"/>
  <c r="A93" i="3"/>
  <c r="F92" i="3"/>
  <c r="H93" i="4"/>
  <c r="G93" i="4"/>
  <c r="D93" i="4"/>
  <c r="E93" i="4"/>
  <c r="C93" i="4"/>
  <c r="B93" i="4"/>
  <c r="A94" i="4"/>
  <c r="F93" i="4"/>
  <c r="H94" i="4" l="1"/>
  <c r="G94" i="4"/>
  <c r="F94" i="4"/>
  <c r="D94" i="4"/>
  <c r="C94" i="4"/>
  <c r="B94" i="4"/>
  <c r="A95" i="4"/>
  <c r="E94" i="4"/>
  <c r="I93" i="3"/>
  <c r="H93" i="3"/>
  <c r="F93" i="3"/>
  <c r="G93" i="3"/>
  <c r="D93" i="3"/>
  <c r="E93" i="3"/>
  <c r="C93" i="3"/>
  <c r="B93" i="3"/>
  <c r="A94" i="3"/>
  <c r="H95" i="4" l="1"/>
  <c r="G95" i="4"/>
  <c r="F95" i="4"/>
  <c r="E95" i="4"/>
  <c r="D95" i="4"/>
  <c r="C95" i="4"/>
  <c r="B95" i="4"/>
  <c r="A96" i="4"/>
  <c r="I94" i="3"/>
  <c r="H94" i="3"/>
  <c r="E94" i="3"/>
  <c r="F94" i="3"/>
  <c r="G94" i="3"/>
  <c r="D94" i="3"/>
  <c r="C94" i="3"/>
  <c r="B94" i="3"/>
  <c r="A95" i="3"/>
  <c r="H96" i="4" l="1"/>
  <c r="G96" i="4"/>
  <c r="F96" i="4"/>
  <c r="D96" i="4"/>
  <c r="E96" i="4"/>
  <c r="C96" i="4"/>
  <c r="B96" i="4"/>
  <c r="A97" i="4"/>
  <c r="H95" i="3"/>
  <c r="E95" i="3"/>
  <c r="F95" i="3"/>
  <c r="G95" i="3"/>
  <c r="D95" i="3"/>
  <c r="C95" i="3"/>
  <c r="B95" i="3"/>
  <c r="A96" i="3"/>
  <c r="I95" i="3"/>
  <c r="I96" i="3" l="1"/>
  <c r="H96" i="3"/>
  <c r="E96" i="3"/>
  <c r="G96" i="3"/>
  <c r="C96" i="3"/>
  <c r="B96" i="3"/>
  <c r="A97" i="3"/>
  <c r="F96" i="3"/>
  <c r="D96" i="3"/>
  <c r="H97" i="4"/>
  <c r="F97" i="4"/>
  <c r="D97" i="4"/>
  <c r="G97" i="4"/>
  <c r="E97" i="4"/>
  <c r="C97" i="4"/>
  <c r="B97" i="4"/>
  <c r="A98" i="4"/>
  <c r="I97" i="3" l="1"/>
  <c r="H97" i="3"/>
  <c r="F97" i="3"/>
  <c r="G97" i="3"/>
  <c r="D97" i="3"/>
  <c r="C97" i="3"/>
  <c r="B97" i="3"/>
  <c r="A98" i="3"/>
  <c r="E97" i="3"/>
  <c r="H98" i="4"/>
  <c r="G98" i="4"/>
  <c r="F98" i="4"/>
  <c r="D98" i="4"/>
  <c r="E98" i="4"/>
  <c r="B98" i="4"/>
  <c r="A99" i="4"/>
  <c r="C98" i="4"/>
  <c r="H99" i="4" l="1"/>
  <c r="G99" i="4"/>
  <c r="F99" i="4"/>
  <c r="E99" i="4"/>
  <c r="C99" i="4"/>
  <c r="D99" i="4"/>
  <c r="B99" i="4"/>
  <c r="A100" i="4"/>
  <c r="I98" i="3"/>
  <c r="H98" i="3"/>
  <c r="E98" i="3"/>
  <c r="F98" i="3"/>
  <c r="G98" i="3"/>
  <c r="D98" i="3"/>
  <c r="A99" i="3"/>
  <c r="C98" i="3"/>
  <c r="B98" i="3"/>
  <c r="H100" i="4" l="1"/>
  <c r="G100" i="4"/>
  <c r="F100" i="4"/>
  <c r="D100" i="4"/>
  <c r="E100" i="4"/>
  <c r="C100" i="4"/>
  <c r="A101" i="4"/>
  <c r="B100" i="4"/>
  <c r="I99" i="3"/>
  <c r="E99" i="3"/>
  <c r="F99" i="3"/>
  <c r="G99" i="3"/>
  <c r="D99" i="3"/>
  <c r="H99" i="3"/>
  <c r="C99" i="3"/>
  <c r="B99" i="3"/>
  <c r="A100" i="3"/>
  <c r="H101" i="4" l="1"/>
  <c r="D101" i="4"/>
  <c r="E101" i="4"/>
  <c r="C101" i="4"/>
  <c r="B101" i="4"/>
  <c r="A102" i="4"/>
  <c r="G101" i="4"/>
  <c r="F101" i="4"/>
  <c r="I100" i="3"/>
  <c r="H100" i="3"/>
  <c r="E100" i="3"/>
  <c r="F100" i="3"/>
  <c r="D100" i="3"/>
  <c r="C100" i="3"/>
  <c r="B100" i="3"/>
  <c r="A101" i="3"/>
  <c r="G100" i="3"/>
  <c r="I101" i="3" l="1"/>
  <c r="H101" i="3"/>
  <c r="F101" i="3"/>
  <c r="G101" i="3"/>
  <c r="E101" i="3"/>
  <c r="D101" i="3"/>
  <c r="C101" i="3"/>
  <c r="B101" i="3"/>
  <c r="A102" i="3"/>
  <c r="H102" i="4"/>
  <c r="G102" i="4"/>
  <c r="F102" i="4"/>
  <c r="D102" i="4"/>
  <c r="E102" i="4"/>
  <c r="C102" i="4"/>
  <c r="B102" i="4"/>
  <c r="A103" i="4"/>
  <c r="H103" i="4" l="1"/>
  <c r="G103" i="4"/>
  <c r="F103" i="4"/>
  <c r="E103" i="4"/>
  <c r="C103" i="4"/>
  <c r="B103" i="4"/>
  <c r="A104" i="4"/>
  <c r="D103" i="4"/>
  <c r="I102" i="3"/>
  <c r="H102" i="3"/>
  <c r="E102" i="3"/>
  <c r="F102" i="3"/>
  <c r="G102" i="3"/>
  <c r="D102" i="3"/>
  <c r="A103" i="3"/>
  <c r="C102" i="3"/>
  <c r="B102" i="3"/>
  <c r="I103" i="3" l="1"/>
  <c r="H103" i="3"/>
  <c r="E103" i="3"/>
  <c r="F103" i="3"/>
  <c r="G103" i="3"/>
  <c r="D103" i="3"/>
  <c r="C103" i="3"/>
  <c r="B103" i="3"/>
  <c r="A104" i="3"/>
  <c r="H104" i="4"/>
  <c r="G104" i="4"/>
  <c r="F104" i="4"/>
  <c r="D104" i="4"/>
  <c r="E104" i="4"/>
  <c r="C104" i="4"/>
  <c r="A105" i="4"/>
  <c r="B104" i="4"/>
  <c r="H105" i="4" l="1"/>
  <c r="G105" i="4"/>
  <c r="F105" i="4"/>
  <c r="D105" i="4"/>
  <c r="E105" i="4"/>
  <c r="C105" i="4"/>
  <c r="B105" i="4"/>
  <c r="A106" i="4"/>
  <c r="I104" i="3"/>
  <c r="H104" i="3"/>
  <c r="E104" i="3"/>
  <c r="F104" i="3"/>
  <c r="C104" i="3"/>
  <c r="B104" i="3"/>
  <c r="A105" i="3"/>
  <c r="D104" i="3"/>
  <c r="G104" i="3"/>
  <c r="H106" i="4" l="1"/>
  <c r="G106" i="4"/>
  <c r="F106" i="4"/>
  <c r="D106" i="4"/>
  <c r="B106" i="4"/>
  <c r="A107" i="4"/>
  <c r="E106" i="4"/>
  <c r="C106" i="4"/>
  <c r="I105" i="3"/>
  <c r="H105" i="3"/>
  <c r="F105" i="3"/>
  <c r="G105" i="3"/>
  <c r="E105" i="3"/>
  <c r="D105" i="3"/>
  <c r="C105" i="3"/>
  <c r="B105" i="3"/>
  <c r="A106" i="3"/>
  <c r="H107" i="4" l="1"/>
  <c r="G107" i="4"/>
  <c r="E107" i="4"/>
  <c r="F107" i="4"/>
  <c r="D107" i="4"/>
  <c r="C107" i="4"/>
  <c r="B107" i="4"/>
  <c r="A108" i="4"/>
  <c r="I106" i="3"/>
  <c r="H106" i="3"/>
  <c r="E106" i="3"/>
  <c r="F106" i="3"/>
  <c r="G106" i="3"/>
  <c r="D106" i="3"/>
  <c r="B106" i="3"/>
  <c r="C106" i="3"/>
  <c r="A107" i="3"/>
  <c r="H108" i="4" l="1"/>
  <c r="G108" i="4"/>
  <c r="F108" i="4"/>
  <c r="D108" i="4"/>
  <c r="E108" i="4"/>
  <c r="C108" i="4"/>
  <c r="B108" i="4"/>
  <c r="A109" i="4"/>
  <c r="E107" i="3"/>
  <c r="I107" i="3"/>
  <c r="F107" i="3"/>
  <c r="G107" i="3"/>
  <c r="D107" i="3"/>
  <c r="C107" i="3"/>
  <c r="B107" i="3"/>
  <c r="A108" i="3"/>
  <c r="H107" i="3"/>
  <c r="I108" i="3" l="1"/>
  <c r="H108" i="3"/>
  <c r="E108" i="3"/>
  <c r="G108" i="3"/>
  <c r="D108" i="3"/>
  <c r="C108" i="3"/>
  <c r="B108" i="3"/>
  <c r="A109" i="3"/>
  <c r="F108" i="3"/>
  <c r="F109" i="4"/>
  <c r="G109" i="4"/>
  <c r="D109" i="4"/>
  <c r="H109" i="4"/>
  <c r="E109" i="4"/>
  <c r="C109" i="4"/>
  <c r="B109" i="4"/>
  <c r="A110" i="4"/>
  <c r="I109" i="3" l="1"/>
  <c r="H109" i="3"/>
  <c r="F109" i="3"/>
  <c r="G109" i="3"/>
  <c r="D109" i="3"/>
  <c r="E109" i="3"/>
  <c r="C109" i="3"/>
  <c r="B109" i="3"/>
  <c r="A110" i="3"/>
  <c r="H110" i="4"/>
  <c r="G110" i="4"/>
  <c r="F110" i="4"/>
  <c r="D110" i="4"/>
  <c r="C110" i="4"/>
  <c r="B110" i="4"/>
  <c r="A111" i="4"/>
  <c r="E110" i="4"/>
  <c r="H111" i="4" l="1"/>
  <c r="G111" i="4"/>
  <c r="E111" i="4"/>
  <c r="F111" i="4"/>
  <c r="D111" i="4"/>
  <c r="C111" i="4"/>
  <c r="B111" i="4"/>
  <c r="A112" i="4"/>
  <c r="I110" i="3"/>
  <c r="H110" i="3"/>
  <c r="E110" i="3"/>
  <c r="F110" i="3"/>
  <c r="G110" i="3"/>
  <c r="D110" i="3"/>
  <c r="C110" i="3"/>
  <c r="A111" i="3"/>
  <c r="B110" i="3"/>
  <c r="H111" i="3" l="1"/>
  <c r="E111" i="3"/>
  <c r="F111" i="3"/>
  <c r="G111" i="3"/>
  <c r="D111" i="3"/>
  <c r="I111" i="3"/>
  <c r="C111" i="3"/>
  <c r="B111" i="3"/>
  <c r="A112" i="3"/>
  <c r="H112" i="4"/>
  <c r="G112" i="4"/>
  <c r="F112" i="4"/>
  <c r="D112" i="4"/>
  <c r="E112" i="4"/>
  <c r="C112" i="4"/>
  <c r="B112" i="4"/>
  <c r="A113" i="4"/>
  <c r="H113" i="4" l="1"/>
  <c r="D113" i="4"/>
  <c r="G113" i="4"/>
  <c r="E113" i="4"/>
  <c r="C113" i="4"/>
  <c r="B113" i="4"/>
  <c r="A114" i="4"/>
  <c r="F113" i="4"/>
  <c r="I112" i="3"/>
  <c r="H112" i="3"/>
  <c r="E112" i="3"/>
  <c r="G112" i="3"/>
  <c r="C112" i="3"/>
  <c r="B112" i="3"/>
  <c r="A113" i="3"/>
  <c r="F112" i="3"/>
  <c r="D112" i="3"/>
  <c r="I113" i="3" l="1"/>
  <c r="H113" i="3"/>
  <c r="F113" i="3"/>
  <c r="G113" i="3"/>
  <c r="C113" i="3"/>
  <c r="B113" i="3"/>
  <c r="A114" i="3"/>
  <c r="E113" i="3"/>
  <c r="D113" i="3"/>
  <c r="H114" i="4"/>
  <c r="G114" i="4"/>
  <c r="F114" i="4"/>
  <c r="D114" i="4"/>
  <c r="E114" i="4"/>
  <c r="B114" i="4"/>
  <c r="A115" i="4"/>
  <c r="C114" i="4"/>
  <c r="H115" i="4" l="1"/>
  <c r="G115" i="4"/>
  <c r="E115" i="4"/>
  <c r="F115" i="4"/>
  <c r="C115" i="4"/>
  <c r="D115" i="4"/>
  <c r="B115" i="4"/>
  <c r="A116" i="4"/>
  <c r="I114" i="3"/>
  <c r="H114" i="3"/>
  <c r="E114" i="3"/>
  <c r="F114" i="3"/>
  <c r="G114" i="3"/>
  <c r="D114" i="3"/>
  <c r="A115" i="3"/>
  <c r="B114" i="3"/>
  <c r="C114" i="3"/>
  <c r="I115" i="3" l="1"/>
  <c r="E115" i="3"/>
  <c r="F115" i="3"/>
  <c r="G115" i="3"/>
  <c r="D115" i="3"/>
  <c r="C115" i="3"/>
  <c r="B115" i="3"/>
  <c r="A116" i="3"/>
  <c r="H115" i="3"/>
  <c r="H116" i="4"/>
  <c r="G116" i="4"/>
  <c r="F116" i="4"/>
  <c r="D116" i="4"/>
  <c r="E116" i="4"/>
  <c r="C116" i="4"/>
  <c r="A117" i="4"/>
  <c r="B116" i="4"/>
  <c r="D117" i="4" l="1"/>
  <c r="F117" i="4"/>
  <c r="E117" i="4"/>
  <c r="C117" i="4"/>
  <c r="B117" i="4"/>
  <c r="A118" i="4"/>
  <c r="H117" i="4"/>
  <c r="G117" i="4"/>
  <c r="I116" i="3"/>
  <c r="H116" i="3"/>
  <c r="E116" i="3"/>
  <c r="F116" i="3"/>
  <c r="D116" i="3"/>
  <c r="C116" i="3"/>
  <c r="B116" i="3"/>
  <c r="A117" i="3"/>
  <c r="G116" i="3"/>
  <c r="I117" i="3" l="1"/>
  <c r="H117" i="3"/>
  <c r="F117" i="3"/>
  <c r="G117" i="3"/>
  <c r="E117" i="3"/>
  <c r="D117" i="3"/>
  <c r="C117" i="3"/>
  <c r="B117" i="3"/>
  <c r="A118" i="3"/>
  <c r="H118" i="4"/>
  <c r="G118" i="4"/>
  <c r="D118" i="4"/>
  <c r="E118" i="4"/>
  <c r="C118" i="4"/>
  <c r="B118" i="4"/>
  <c r="A119" i="4"/>
  <c r="F118" i="4"/>
  <c r="H119" i="4" l="1"/>
  <c r="G119" i="4"/>
  <c r="F119" i="4"/>
  <c r="E119" i="4"/>
  <c r="C119" i="4"/>
  <c r="B119" i="4"/>
  <c r="A120" i="4"/>
  <c r="D119" i="4"/>
  <c r="I118" i="3"/>
  <c r="H118" i="3"/>
  <c r="E118" i="3"/>
  <c r="F118" i="3"/>
  <c r="G118" i="3"/>
  <c r="D118" i="3"/>
  <c r="C118" i="3"/>
  <c r="B118" i="3"/>
  <c r="A119" i="3"/>
  <c r="H120" i="4" l="1"/>
  <c r="G120" i="4"/>
  <c r="F120" i="4"/>
  <c r="D120" i="4"/>
  <c r="E120" i="4"/>
  <c r="C120" i="4"/>
  <c r="A121" i="4"/>
  <c r="B120" i="4"/>
  <c r="I119" i="3"/>
  <c r="H119" i="3"/>
  <c r="E119" i="3"/>
  <c r="F119" i="3"/>
  <c r="G119" i="3"/>
  <c r="D119" i="3"/>
  <c r="C119" i="3"/>
  <c r="B119" i="3"/>
  <c r="A120" i="3"/>
  <c r="H121" i="4" l="1"/>
  <c r="G121" i="4"/>
  <c r="F121" i="4"/>
  <c r="D121" i="4"/>
  <c r="E121" i="4"/>
  <c r="C121" i="4"/>
  <c r="B121" i="4"/>
  <c r="A122" i="4"/>
  <c r="I120" i="3"/>
  <c r="H120" i="3"/>
  <c r="E120" i="3"/>
  <c r="F120" i="3"/>
  <c r="C120" i="3"/>
  <c r="B120" i="3"/>
  <c r="A121" i="3"/>
  <c r="D120" i="3"/>
  <c r="G120" i="3"/>
  <c r="H122" i="4" l="1"/>
  <c r="G122" i="4"/>
  <c r="F122" i="4"/>
  <c r="D122" i="4"/>
  <c r="B122" i="4"/>
  <c r="A123" i="4"/>
  <c r="E122" i="4"/>
  <c r="C122" i="4"/>
  <c r="I121" i="3"/>
  <c r="H121" i="3"/>
  <c r="F121" i="3"/>
  <c r="G121" i="3"/>
  <c r="E121" i="3"/>
  <c r="D121" i="3"/>
  <c r="C121" i="3"/>
  <c r="B121" i="3"/>
  <c r="A122" i="3"/>
  <c r="H123" i="4" l="1"/>
  <c r="G123" i="4"/>
  <c r="E123" i="4"/>
  <c r="D123" i="4"/>
  <c r="C123" i="4"/>
  <c r="B123" i="4"/>
  <c r="A124" i="4"/>
  <c r="F123" i="4"/>
  <c r="I122" i="3"/>
  <c r="H122" i="3"/>
  <c r="E122" i="3"/>
  <c r="F122" i="3"/>
  <c r="G122" i="3"/>
  <c r="D122" i="3"/>
  <c r="B122" i="3"/>
  <c r="A123" i="3"/>
  <c r="C122" i="3"/>
  <c r="H124" i="4" l="1"/>
  <c r="G124" i="4"/>
  <c r="F124" i="4"/>
  <c r="D124" i="4"/>
  <c r="E124" i="4"/>
  <c r="C124" i="4"/>
  <c r="B124" i="4"/>
  <c r="A125" i="4"/>
  <c r="E123" i="3"/>
  <c r="I123" i="3"/>
  <c r="F123" i="3"/>
  <c r="G123" i="3"/>
  <c r="D123" i="3"/>
  <c r="C123" i="3"/>
  <c r="B123" i="3"/>
  <c r="A124" i="3"/>
  <c r="H123" i="3"/>
  <c r="I124" i="3" l="1"/>
  <c r="H124" i="3"/>
  <c r="E124" i="3"/>
  <c r="G124" i="3"/>
  <c r="D124" i="3"/>
  <c r="C124" i="3"/>
  <c r="B124" i="3"/>
  <c r="A125" i="3"/>
  <c r="F124" i="3"/>
  <c r="H125" i="4"/>
  <c r="F125" i="4"/>
  <c r="G125" i="4"/>
  <c r="D125" i="4"/>
  <c r="E125" i="4"/>
  <c r="C125" i="4"/>
  <c r="B125" i="4"/>
  <c r="A126" i="4"/>
  <c r="I125" i="3" l="1"/>
  <c r="H125" i="3"/>
  <c r="F125" i="3"/>
  <c r="G125" i="3"/>
  <c r="D125" i="3"/>
  <c r="E125" i="3"/>
  <c r="C125" i="3"/>
  <c r="B125" i="3"/>
  <c r="A126" i="3"/>
  <c r="H126" i="4"/>
  <c r="G126" i="4"/>
  <c r="F126" i="4"/>
  <c r="D126" i="4"/>
  <c r="C126" i="4"/>
  <c r="B126" i="4"/>
  <c r="A127" i="4"/>
  <c r="E126" i="4"/>
  <c r="H127" i="4" l="1"/>
  <c r="G127" i="4"/>
  <c r="E127" i="4"/>
  <c r="G4" i="4" s="1"/>
  <c r="D5" i="4" s="1"/>
  <c r="F127" i="4"/>
  <c r="D127" i="4"/>
  <c r="C127" i="4"/>
  <c r="B127" i="4"/>
  <c r="I126" i="3"/>
  <c r="H126" i="3"/>
  <c r="E126" i="3"/>
  <c r="F126" i="3"/>
  <c r="G126" i="3"/>
  <c r="D126" i="3"/>
  <c r="C126" i="3"/>
  <c r="B126" i="3"/>
  <c r="A127" i="3"/>
  <c r="H127" i="3" l="1"/>
  <c r="E127" i="3"/>
  <c r="F127" i="3"/>
  <c r="G127" i="3"/>
  <c r="D127" i="3"/>
  <c r="C127" i="3"/>
  <c r="B127" i="3"/>
  <c r="I127" i="3"/>
  <c r="E7" i="5"/>
  <c r="E6" i="5"/>
  <c r="E8" i="5"/>
  <c r="G7" i="5" l="1"/>
  <c r="G8" i="5"/>
  <c r="D7" i="5"/>
  <c r="F7" i="5" s="1"/>
  <c r="D8" i="5"/>
  <c r="F8" i="5" s="1"/>
  <c r="H8" i="5" s="1"/>
  <c r="D6" i="5"/>
  <c r="H3" i="3"/>
  <c r="H5" i="3" s="1"/>
  <c r="E16" i="5"/>
  <c r="E19" i="5" s="1"/>
  <c r="H4" i="3"/>
  <c r="G6" i="5"/>
  <c r="G16" i="5" s="1"/>
  <c r="E20" i="5" s="1"/>
  <c r="H7" i="5" l="1"/>
  <c r="D16" i="5"/>
  <c r="E18" i="5" s="1"/>
  <c r="F6" i="5"/>
  <c r="F16" i="5" l="1"/>
  <c r="H6" i="5"/>
  <c r="H16" i="5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MMN Syndicate</author>
  </authors>
  <commentList>
    <comment ref="B8" authorId="0" shapeId="0" xr:uid="{F9509DDC-90E5-4E9C-8B04-8D7D2D51DB75}">
      <text>
        <r>
          <rPr>
            <b/>
            <sz val="9"/>
            <color indexed="81"/>
            <rFont val="Tahoma"/>
            <family val="2"/>
          </rPr>
          <t>ตัวอย่างนี้ใช้ 36 เดือน (example value). สูงสุด 120 เดือนตามจำนวนแถวในตาราง</t>
        </r>
      </text>
    </comment>
    <comment ref="B11" authorId="0" shapeId="0" xr:uid="{C0DD27D2-AAB6-4498-9B08-2C8BB3B0E9B8}">
      <text>
        <r>
          <rPr>
            <b/>
            <sz val="9"/>
            <color indexed="81"/>
            <rFont val="Tahoma"/>
            <family val="2"/>
          </rPr>
          <t>Assumption: monthly rate = annual rate / 12 (nominal). ใช้อัตราโดยนัยตามสัญญาเช่าแทน หากกำหนดได้โดยง่าย (TFRS 16 ย่อหน้า 26)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MMN Syndicate</author>
  </authors>
  <commentList>
    <comment ref="F7" authorId="0" shapeId="0" xr:uid="{4A63DE2F-0BCF-40A4-9E7B-92294D8272F1}">
      <text>
        <r>
          <rPr>
            <b/>
            <sz val="9"/>
            <color indexed="81"/>
            <rFont val="Tahoma"/>
            <family val="2"/>
          </rPr>
          <t>ดอกเบี้ย = ยอดคงค้าง × อัตรารายเดือน (effective interest). Rows beyond the lease term blank out automatically.</t>
        </r>
      </text>
    </comment>
    <comment ref="G7" authorId="0" shapeId="0" xr:uid="{6BB4C86D-C4D0-4BCC-ACFE-BAEB48AF68DF}">
      <text>
        <r>
          <rPr>
            <b/>
            <sz val="9"/>
            <color indexed="81"/>
            <rFont val="Tahoma"/>
            <family val="2"/>
          </rPr>
          <t>จ่ายต้นงวด: ค่าเช่างวดที่ 1 จ่าย ณ วันเริ่มสัญญาและรวมอยู่ในต้นทุน ROU แล้ว จึงแสดง 0 ในงวดที่ 1 และดอกเบี้ยคิดจากยอดหลังหักค่าเช่าต้นงวด / In advance: payment 1 is paid at commencement (in ROU), so shows 0; interest accrues on balance after the start-of-period payment.</t>
        </r>
      </text>
    </comment>
  </commentList>
</comments>
</file>

<file path=xl/sharedStrings.xml><?xml version="1.0" encoding="utf-8"?>
<sst xmlns="http://schemas.openxmlformats.org/spreadsheetml/2006/main" count="213" uniqueCount="186">
  <si>
    <t>TFRS 16 — ตารางสัญญาเช่าด้านผู้เช่า (Lessee lease schedule) · MMN Syndicate</t>
  </si>
  <si>
    <t>กรอกเฉพาะช่องสีเหลือง / edit yellow cells only</t>
  </si>
  <si>
    <t>ก. ข้อมูลนำเข้า (Inputs)</t>
  </si>
  <si>
    <t>รายการ (Item)</t>
  </si>
  <si>
    <t>ค่า (Value)</t>
  </si>
  <si>
    <t>หน่วย (Unit)</t>
  </si>
  <si>
    <t>หมายเหตุ (Note)</t>
  </si>
  <si>
    <t>ชื่อสัญญาเช่า
(Lease name)</t>
  </si>
  <si>
    <t>สัญญาเช่าสำนักงาน (ตัวอย่าง)</t>
  </si>
  <si>
    <t>ข้อความอิสระ / free text</t>
  </si>
  <si>
    <t>วันที่สัญญาเช่าเริ่มมีผล
(Commencement date)</t>
  </si>
  <si>
    <t>วว/ดด/ปปปป</t>
  </si>
  <si>
    <t>วันที่ผู้ให้เช่าส่งมอบสินทรัพย์ให้ผู้เช่าใช้ / date the asset is made available for use</t>
  </si>
  <si>
    <t>อายุสัญญาเช่า
(Lease term)</t>
  </si>
  <si>
    <t>เดือน (months)</t>
  </si>
  <si>
    <t>จำนวนเต็ม 1–120 เดือน รวมช่วงต่ออายุที่ค่อนข้างแน่นอนว่าจะใช้สิทธิ / whole months 1–120, incl. reasonably certain extension periods</t>
  </si>
  <si>
    <t>ค่าเช่าคงที่ต่อเดือน
(Fixed payment per month)</t>
  </si>
  <si>
    <t>บาท (THB)</t>
  </si>
  <si>
    <t>ไม่รวมภาษีมูลค่าเพิ่ม / excluding VAT</t>
  </si>
  <si>
    <t>จังหวะการจ่ายชำระ
(Payment timing)</t>
  </si>
  <si>
    <t>ปลายงวด (In arrears)</t>
  </si>
  <si>
    <t>เลือกจากรายการ: ต้นงวด (In advance) / ปลายงวด (In arrears)</t>
  </si>
  <si>
    <t>อัตราดอกเบี้ยการกู้ยืมส่วนเพิ่มของผู้เช่า
(Incremental borrowing rate, % p.a.)</t>
  </si>
  <si>
    <t>% ต่อปี</t>
  </si>
  <si>
    <t>แปลงเป็นอัตรารายเดือน = อัตราต่อปี ÷ 12 (สมมติฐาน) / converted to monthly rate = annual ÷ 12 (assumption)</t>
  </si>
  <si>
    <t>ต้นทุนทางตรงเริ่มแรก
(Initial direct costs)</t>
  </si>
  <si>
    <t>เช่น ค่านายหน้า ค่าธรรมเนียมทางกฎหมายที่เกิดขึ้นเพราะได้สัญญา / e.g. commissions</t>
  </si>
  <si>
    <t>ค่าเช่าที่จ่าย ณ หรือก่อนวันเริ่มสัญญา
(Prepaid lease payments)</t>
  </si>
  <si>
    <t>นอกเหนือจากงวดแรกของการจ่ายต้นงวด (ซึ่งคำนวณให้อัตโนมัติ) / other than the first in-advance instalment (handled automatically)</t>
  </si>
  <si>
    <t>สิ่งจูงใจตามสัญญาเช่าที่ได้รับ
(Lease incentives received)</t>
  </si>
  <si>
    <t>หักออกจากต้นทุนสินทรัพย์สิทธิการใช้ / deducted from ROU cost</t>
  </si>
  <si>
    <t>ประมาณการต้นทุนการรื้อถอน/บูรณะ (มูลค่าปัจจุบัน)
(Estimated restoration cost, PV)</t>
  </si>
  <si>
    <t>กรอกเป็นมูลค่าปัจจุบันแล้ว (TAS 37) / enter at present value</t>
  </si>
  <si>
    <t>มีสิทธิเลือกซื้อหรือไม่
(Purchase option?)</t>
  </si>
  <si>
    <t>ไม่มี (No)</t>
  </si>
  <si>
    <t>ใช้ทดสอบข้อยกเว้นสัญญาเช่าระยะสั้น / used for the short-term exemption test</t>
  </si>
  <si>
    <t>มูลค่าสินทรัพย์อ้างอิงเมื่อยังใหม่
(Value of underlying asset when new)</t>
  </si>
  <si>
    <t>ใช้ทดสอบข้อยกเว้นสินทรัพย์มูลค่าต่ำ / used for the low-value test</t>
  </si>
  <si>
    <t>เกณฑ์สินทรัพย์มูลค่าต่ำตามนโยบายกิจการ
(Low-value threshold – entity policy)</t>
  </si>
  <si>
    <t>ตัวอย่าง ~USD 5,000 เมื่อสินทรัพย์ยังใหม่ (อ้างอิง IFRS 16 BC100 — ไม่ได้กำหนดในตัวมาตรฐาน) ปรับตามนโยบาย / example only, set per policy</t>
  </si>
  <si>
    <t>ตรวจสอบข้อมูลนำเข้า
(Input check)</t>
  </si>
  <si>
    <t>ข. การคำนวณ (Calculations) — สูตร ห้ามแก้ไข / formulas, do not edit</t>
  </si>
  <si>
    <t>อัตราดอกเบี้ยรายเดือน
(Monthly rate)</t>
  </si>
  <si>
    <t>% ต่อเดือน</t>
  </si>
  <si>
    <t>สมมติฐาน: อัตรารายเดือน = อัตราต่อปี ÷ 12 (nominal) / assumption: annual ÷ 12</t>
  </si>
  <si>
    <t>จ่ายต้นงวดหรือไม่ (1 = ต้นงวด)
(In-advance flag)</t>
  </si>
  <si>
    <t>1 = In advance, 0 = In arrears</t>
  </si>
  <si>
    <t>จำนวนงวดที่รวมในหนี้สิน
(Payments included in liability)</t>
  </si>
  <si>
    <t>งวด</t>
  </si>
  <si>
    <t>จ่ายต้นงวด: งวดแรกจ่าย ณ วันเริ่มสัญญา จึงไม่รวมในหนี้สิน / in advance: 1st payment excluded</t>
  </si>
  <si>
    <t>หนี้สินตามสัญญาเช่าเริ่มแรก
(Initial lease liability)</t>
  </si>
  <si>
    <t>ต้นงวด: PV แบบ annuity-due (type 1) หักงวดแรกที่จ่ายแล้ว / ปลายงวด: PV แบบ ordinary annuity (type 0)</t>
  </si>
  <si>
    <t>ค่าเช่างวดแรกที่จ่าย ณ วันเริ่มสัญญา
(First payment at commencement)</t>
  </si>
  <si>
    <t>เฉพาะกรณีจ่ายต้นงวด — รวมในต้นทุน ROU / in-advance only, included in ROU</t>
  </si>
  <si>
    <t>สินทรัพย์สิทธิการใช้เริ่มแรก
(Right-of-use asset at commencement)</t>
  </si>
  <si>
    <t>ROU = หนี้สิน + ค่าเช่าที่จ่าย ณ/ก่อนวันเริ่มสัญญา + IDC + ต้นทุนรื้อถอน − สิ่งจูงใจที่ได้รับ</t>
  </si>
  <si>
    <t>ค่าเสื่อมราคาต่อเดือน
(Monthly depreciation)</t>
  </si>
  <si>
    <t>วิธีเส้นตรงตลอดอายุสัญญาเช่า (ไม่มีการโอนกรรมสิทธิ์) / straight-line over lease term</t>
  </si>
  <si>
    <t>จำนวนปีสัญญาเช่า
(Number of lease years)</t>
  </si>
  <si>
    <t>ปี (years)</t>
  </si>
  <si>
    <t>ค่าเช่ารวมตลอดสัญญา (ไม่คิดลด)
(Total undiscounted payments)</t>
  </si>
  <si>
    <t>ดอกเบี้ยรวมตลอดสัญญา
(Total interest over term)</t>
  </si>
  <si>
    <t>ค่าเช่ารวม − งวดแรก ณ วันเริ่ม − หนี้สินเริ่มแรก</t>
  </si>
  <si>
    <t>วันสิ้นสุดสัญญาเช่า
(Lease end date)</t>
  </si>
  <si>
    <t>ค. ตรวจสอบข้อยกเว้นการรับรู้ (Recognition exemptions check) — TFRS 16 ย่อหน้า 5–8</t>
  </si>
  <si>
    <t>สัญญาเช่าระยะสั้น
(Short-term lease: ≤12 months, no purchase option)</t>
  </si>
  <si>
    <t>สินทรัพย์อ้างอิงมูลค่าต่ำ
(Low-value underlying asset)</t>
  </si>
  <si>
    <t>ผลสรุป
(Conclusion)</t>
  </si>
  <si>
    <t>ตารางหนี้สินตามสัญญาเช่า (Lease liability schedule) — วิธีอัตราดอกเบี้ยที่แท้จริง (effective interest)</t>
  </si>
  <si>
    <t>หนี้สินเริ่มแรก (Initial lease liability)</t>
  </si>
  <si>
    <t>ดอกเบี้ยรวม (Total interest)</t>
  </si>
  <si>
    <t>ยอดคงเหลืองวดสุดท้าย (Final closing balance)</t>
  </si>
  <si>
    <t>ค่าเช่าจ่ายรวม (Total payments)</t>
  </si>
  <si>
    <t>ตรวจสอบ: ปิดยอดเป็นศูนย์ (Check: closes to 0 ±0.01)</t>
  </si>
  <si>
    <t>ตรวจดอกเบี้ยรวม (Check: interest)</t>
  </si>
  <si>
    <t>งวดที่
(Period)</t>
  </si>
  <si>
    <t>วันเริ่มงวด
(Period start)</t>
  </si>
  <si>
    <t>วันสิ้นงวด
(Period end)</t>
  </si>
  <si>
    <t>วันจ่ายชำระ
(Payment date)</t>
  </si>
  <si>
    <t>ยอดยกมา
(Opening liability)</t>
  </si>
  <si>
    <t>ดอกเบี้ย
(Interest)</t>
  </si>
  <si>
    <t>ค่าเช่าจ่าย
(Payment)</t>
  </si>
  <si>
    <t>ยอดคงเหลือ
(Closing liability)</t>
  </si>
  <si>
    <t>ปีสัญญาเช่า
(Lease year)</t>
  </si>
  <si>
    <t>สินทรัพย์สิทธิการใช้และค่าเสื่อมราคา (Right-of-use asset &amp; depreciation) — เส้นตรง (straight-line)</t>
  </si>
  <si>
    <t>สมมติฐาน: ไม่มีการโอนกรรมสิทธิ์และไม่คาดว่าจะใช้สิทธิเลือกซื้อ จึงคิดค่าเสื่อมราคาตลอดอายุสัญญาเช่า (TFRS 16 ย่อหน้า 32) / Assumes no transfer of ownership: depreciated over the lease term</t>
  </si>
  <si>
    <t>ราคาทุน ROU (ROU cost)</t>
  </si>
  <si>
    <t>ค่าเสื่อมต่อเดือน (Monthly dep.)</t>
  </si>
  <si>
    <t>คงเหลืองวดสุดท้าย (Final carrying)</t>
  </si>
  <si>
    <t>ค่าเสื่อมรวม (Total dep.)</t>
  </si>
  <si>
    <t>ตรวจสอบ (Check)</t>
  </si>
  <si>
    <t>มูลค่าตามบัญชียกมา
(Opening carrying amount)</t>
  </si>
  <si>
    <t>ค่าเสื่อมราคา
(Depreciation)</t>
  </si>
  <si>
    <t>ค่าเสื่อมราคาสะสม
(Accumulated depreciation)</t>
  </si>
  <si>
    <t>มูลค่าตามบัญชีคงเหลือ
(Closing carrying amount)</t>
  </si>
  <si>
    <t>สรุปรายปีสัญญาเช่า (Annual summary by lease year)</t>
  </si>
  <si>
    <t>ปีสัญญาเช่านับจากวันเริ่มสัญญา (ไม่ใช่รอบปีบัญชี) · ส่วนที่ถึงกำหนดภายในหนึ่งปี = เงินต้นที่ลดลงใน 12 เดือนถัดไป · เงินสดจ่ายรวมงวดแรก ณ วันเริ่มสัญญา (กรณีต้นงวด) แต่ไม่รวม IDC/ค่าเช่าจ่ายล่วงหน้าอื่น</t>
  </si>
  <si>
    <t>Lease years run from commencement (not the financial year) · Current portion = principal reduction over the next 12 months · Cash paid includes the in-advance commencement payment, excludes IDC / other prepaid amounts</t>
  </si>
  <si>
    <t>ปีที่
(Lease year)</t>
  </si>
  <si>
    <t>ตั้งแต่
(From)</t>
  </si>
  <si>
    <t>ถึง
(To)</t>
  </si>
  <si>
    <t>ดอกเบี้ยจ่าย
(Interest expense)</t>
  </si>
  <si>
    <t>ค่าใช้จ่ายรวมใน P&amp;L
(Total P&amp;L expense)</t>
  </si>
  <si>
    <t>เงินสดจ่ายค่าเช่า
(Cash paid)</t>
  </si>
  <si>
    <t>ผลต่าง P&amp;L − เงินสด
(P&amp;L less cash)</t>
  </si>
  <si>
    <t>หนี้สินคงเหลือปลายปี
(Closing liability)</t>
  </si>
  <si>
    <t>ส่วนที่ถึงกำหนดใน 1 ปี
(Current)</t>
  </si>
  <si>
    <t>ส่วนที่เกิน 1 ปี
(Non-current)</t>
  </si>
  <si>
    <t>ROU คงเหลือปลายปี
(ROU carrying amount)</t>
  </si>
  <si>
    <t>รวม (Total)</t>
  </si>
  <si>
    <t>ตรวจสอบดอกเบี้ยรวม (Check: interest)</t>
  </si>
  <si>
    <t>ตรวจสอบค่าเสื่อมรวม (Check: depreciation)</t>
  </si>
  <si>
    <t>ตรวจสอบเงินสดจ่ายรวม (Check: cash)</t>
  </si>
  <si>
    <t>รายการบันทึกบัญชี (Journal entries) — เชื่อมโยงกับการคำนวณอัตโนมัติ</t>
  </si>
  <si>
    <t>ตัวเลขทั้งหมดเป็นสูตรที่อ้างอิงชีตคำนวณ ไม่ต้องกรอก / all amounts are linked formulas</t>
  </si>
  <si>
    <t>รายการที่ 1: การรับรู้รายการเมื่อเริ่มต้นสัญญาเช่า (Initial recognition at commencement date)</t>
  </si>
  <si>
    <t>วันที่ (Date)</t>
  </si>
  <si>
    <t>ชื่อบัญชี (Account)</t>
  </si>
  <si>
    <t>เดบิต (Dr)</t>
  </si>
  <si>
    <t>เครดิต (Cr)</t>
  </si>
  <si>
    <t>คำอธิบาย / ที่มา (Description / source)</t>
  </si>
  <si>
    <t>Dr สินทรัพย์สิทธิการใช้ (Right-of-use asset)</t>
  </si>
  <si>
    <t>ต้นทุน ROU ตามชีต Inputs ข้อ ข.</t>
  </si>
  <si>
    <t>Dr เงินสด/ลูกหนี้ — สิ่งจูงใจตามสัญญาเช่า (Cash / receivable – lease incentives)</t>
  </si>
  <si>
    <t>สิ่งจูงใจที่ได้รับ (หักจากต้นทุน ROU แล้ว)</t>
  </si>
  <si>
    <t xml:space="preserve">      Cr หนี้สินตามสัญญาเช่า (Lease liability)</t>
  </si>
  <si>
    <t>PV ของค่าเช่าที่ยังไม่ได้จ่าย</t>
  </si>
  <si>
    <t xml:space="preserve">      Cr เงินสด/ค่าเช่าจ่ายล่วงหน้า (Cash / prepaid lease payments)</t>
  </si>
  <si>
    <t>ค่าเช่าที่จ่าย ณ หรือก่อนวันเริ่มสัญญา (รวมงวดแรกกรณีต้นงวด)</t>
  </si>
  <si>
    <t xml:space="preserve">      Cr เงินสด — ต้นทุนทางตรงเริ่มแรก (Cash – initial direct costs)</t>
  </si>
  <si>
    <t>IDC</t>
  </si>
  <si>
    <t xml:space="preserve">      Cr ประมาณการหนี้สินค่ารื้อถอน/บูรณะ (Provision for restoration)</t>
  </si>
  <si>
    <t>มูลค่าปัจจุบันของต้นทุนรื้อถอน (TAS 37)</t>
  </si>
  <si>
    <t>ตรวจสอบ เดบิต = เครดิต (Check: Dr = Cr)</t>
  </si>
  <si>
    <t>รายการที่ 2: ตัวอย่างการบันทึกเดือนที่ 1 (Sample month-1 entries)</t>
  </si>
  <si>
    <t>Dr ดอกเบี้ยจ่าย — หนี้สินตามสัญญาเช่า (Interest expense – lease)</t>
  </si>
  <si>
    <t>ดอกเบี้ยงวดที่ 1 จากตารางหนี้สิน</t>
  </si>
  <si>
    <t>ดอกเบี้ยเพิ่มยอดหนี้สิน</t>
  </si>
  <si>
    <t>Dr หนี้สินตามสัญญาเช่า (Lease liability)</t>
  </si>
  <si>
    <t>ค่าเช่างวดที่ 1 (ต้นงวด: งวดแรกบันทึกแล้วในรายการที่ 1 จึงเป็น 0)</t>
  </si>
  <si>
    <t xml:space="preserve">      Cr เงินสด (Cash)</t>
  </si>
  <si>
    <t>จ่ายค่าเช่า</t>
  </si>
  <si>
    <t>Dr ค่าเสื่อมราคา — สินทรัพย์สิทธิการใช้ (Depreciation – ROU)</t>
  </si>
  <si>
    <t>ค่าเสื่อมราคาเดือนที่ 1 (เส้นตรง)</t>
  </si>
  <si>
    <t xml:space="preserve">      Cr ค่าเสื่อมราคาสะสม — ROU (Accumulated depreciation – ROU)</t>
  </si>
  <si>
    <t>เทมเพลตตารางสัญญาเช่าตาม TFRS 16 (ด้านผู้เช่า) — TFRS 16 Lessee Lease Schedule</t>
  </si>
  <si>
    <t>MMN Syndicate · Knowledge Center · เทียบเท่า IFRS 16 Leases</t>
  </si>
  <si>
    <t>เทมเพลตนี้ทำอะไร (What this template does)</t>
  </si>
  <si>
    <t>• คำนวณหนี้สินตามสัญญาเช่าเริ่มแรก (มูลค่าปัจจุบันของค่าเช่าคงที่ที่ยังไม่ได้จ่าย) และสินทรัพย์สิทธิการใช้ (ROU) ณ วันที่สัญญาเช่าเริ่มมีผล / Calculates the initial lease liability (PV of unpaid fixed payments) and the right-of-use asset at commencement.</t>
  </si>
  <si>
    <t>• สร้างตารางหนี้สินรายเดือนตามวิธีอัตราดอกเบี้ยที่แท้จริง (สูงสุด 120 เดือน) และตารางค่าเสื่อมราคาแบบเส้นตรง / Builds a monthly effective-interest liability schedule (up to 120 months) and straight-line depreciation.</t>
  </si>
  <si>
    <t>• สรุปรายปี: ดอกเบี้ย ค่าเสื่อมราคา ค่าใช้จ่ายรวมใน P&amp;L เทียบเงินสดจ่าย และแยกหนี้สินส่วนหมุนเวียน/ไม่หมุนเวียน / Annual summary of P&amp;L vs cash and current / non-current split.</t>
  </si>
  <si>
    <t>• รายการบันทึกบัญชีเมื่อเริ่มสัญญาและตัวอย่างเดือนที่ 1 ที่เชื่อมโยงกับสูตร / Linked journal entries for initial recognition and month 1.</t>
  </si>
  <si>
    <t>• ตรวจสอบเบื้องต้นว่าอาจเข้าข้อยกเว้นสัญญาเช่าระยะสั้นหรือสินทรัพย์อ้างอิงมูลค่าต่ำ / Flags possible short-term and low-value exemptions.</t>
  </si>
  <si>
    <t>ขั้นตอนการใช้งาน (Steps)</t>
  </si>
  <si>
    <t>1. ไปที่ชีต "ข้อมูลนำเข้า (Inputs)" และกรอกเฉพาะช่องสีเหลือง: วันที่เริ่มสัญญา อายุสัญญา (เดือน) ค่าเช่าต่อเดือน อัตรา IBR ต่อปี IDC ค่าเช่าจ่ายล่วงหน้า สิ่งจูงใจ และต้นทุนรื้อถอน / Fill the yellow cells on the Inputs sheet.</t>
  </si>
  <si>
    <t>2. เลือกจังหวะการจ่ายชำระ "ต้นงวด (In advance)" หรือ "ปลายงวด (In arrears)" จากรายการ / Choose the payment timing from the dropdown.</t>
  </si>
  <si>
    <t>3. ตรวจผลในส่วน ค. ข้อยกเว้นการรับรู้ — หากเข้าเงื่อนไขและกิจการเลือกใช้ข้อยกเว้น ให้รับรู้ค่าเช่าเป็นค่าใช้จ่ายตามวิธีเส้นตรงแทน / Review the exemption check; if an exemption applies and is elected, expense payments straight-line instead.</t>
  </si>
  <si>
    <t>4. ตรวจชีต "ตารางหนี้สิน" ว่ายอดคงเหลืองวดสุดท้ายเป็น 0 (ช่องตรวจสอบแสดง ✔ OK) / Confirm the liability schedule closes to zero.</t>
  </si>
  <si>
    <t>5. ใช้ชีต "สรุปรายปี" และ "รายการบัญชี" สำหรับการบันทึกบัญชีและหมายเหตุประกอบงบการเงิน / Use the annual summary and journal entries for booking and disclosure.</t>
  </si>
  <si>
    <t>6. ห้ามแก้ไขช่องสูตร (สีเทา/สีขาว) — หากต้องการหลายสัญญา ให้ทำสำเนาไฟล์แยกต่อสัญญา / Do not overwrite formula cells; use one copy of the file per lease.</t>
  </si>
  <si>
    <t>สมมติฐานสำคัญ (Key assumptions)</t>
  </si>
  <si>
    <t>• ค่าเช่าคงที่เท่ากันทุกเดือน ไม่มีค่าเช่าผันแปรตามดัชนี/อัตรา การรับประกันมูลค่าคงเหลือ สิทธิเลือกซื้อ หรือค่าปรับการยกเลิกสัญญาที่ต้องรวมในการวัดมูลค่า / Fixed equal monthly payments only; no index-linked payments, RVGs, purchase options or termination penalties in the measurement.</t>
  </si>
  <si>
    <t>• อัตราคิดลด: อัตราดอกเบี้ยการกู้ยืมส่วนเพิ่มของผู้เช่า (IBR) ต่อปี แปลงเป็นอัตรารายเดือน = อัตราต่อปี ÷ 12 (อัตรา nominal) — หากกำหนดอัตราดอกเบี้ยตามนัยของสัญญาเช่าได้โดยง่าย ให้ใช้อัตรานั้นแทน (ย่อหน้า 26) / Monthly rate = annual IBR ÷ 12 (nominal); use the rate implicit in the lease if readily determinable.</t>
  </si>
  <si>
    <t>• จ่ายปลายงวด: หนี้สิน = PV แบบ ordinary annuity ของค่าเช่าทุกงวด (PV type 0) / In arrears: liability = PV of all payments (ordinary annuity).</t>
  </si>
  <si>
    <t>• จ่ายต้นงวด: หนี้สิน = PV แบบ annuity-due (PV type 1) หักค่าเช่างวดแรกที่จ่าย ณ วันเริ่มสัญญา — งวดแรกนั้นไม่รวมในหนี้สิน แต่รวมในต้นทุน ROU / In advance: liability = annuity-due PV less the first payment made at commencement; that payment is included in the ROU cost instead.</t>
  </si>
  <si>
    <t>• ROU = หนี้สินตามสัญญาเช่า + ค่าเช่าที่จ่าย ณ หรือก่อนวันเริ่มสัญญา + ต้นทุนทางตรงเริ่มแรก + ต้นทุนรื้อถอน/บูรณะ − สิ่งจูงใจที่ได้รับ (ย่อหน้า 24) / ROU = liability + payments at/before commencement + IDC + restoration − incentives received.</t>
  </si>
  <si>
    <t>• "ค่าเช่าที่จ่าย ณ หรือก่อนวันเริ่มสัญญา (Prepaid)" หมายถึงค่าเช่าอื่นนอกเหนือจากงวดแรกของการจ่ายต้นงวด ซึ่งเทมเพลตคำนวณให้อัตโนมัติ / Prepaid = other payments beyond the first in-advance instalment.</t>
  </si>
  <si>
    <t>• ต้นทุนรื้อถอน/บูรณะกรอกเป็นมูลค่าปัจจุบันแล้ว (TAS 37) — เทมเพลตไม่คำนวณการคลี่ส่วนลด (unwinding) ของประมาณการหนี้สิน / Restoration cost entered at PV; unwinding of the provision is not modelled.</t>
  </si>
  <si>
    <t>• ค่าเสื่อมราคาวิธีเส้นตรงตลอดอายุสัญญาเช่า เริ่มตั้งแต่เดือนแรก (สมมติไม่มีการโอนกรรมสิทธิ์และไม่คาดว่าจะใช้สิทธิเลือกซื้อ — ย่อหน้า 32) / Straight-line over the lease term from month 1.</t>
  </si>
  <si>
    <t>• ปีสัญญาเช่านับจากวันเริ่มสัญญา — หากไม่ตรงกับรอบปีบัญชี ต้องปรับตัดยอดตามงวดบัญชี · ส่วนหมุนเวียน = เงินต้นที่ลดลงใน 12 เดือนถัดไป / Lease years run from commencement; current portion = principal reduction over the next 12 months.</t>
  </si>
  <si>
    <t>• ข้อยกเว้น (ย่อหน้า 5–8): สัญญาเช่าระยะสั้น = อายุ ≤ 12 เดือนและไม่มีสิทธิเลือกซื้อ (เลือกใช้ตามประเภทสินทรัพย์อ้างอิง) · สินทรัพย์มูลค่าต่ำ (เลือกเป็นรายสัญญา) — เกณฑ์ ~USD 5,000 เมื่อสินทรัพย์ยังใหม่มาจาก IFRS 16 BC100 ไม่ใช่ข้อกำหนดในมาตรฐาน กิจการต้องกำหนดนโยบายเอง · หากเลือกใช้ รับรู้ค่าเช่าเป็นค่าใช้จ่ายตามวิธีเส้นตรง / Exemptions: if elected, expense on a straight-line basis.</t>
  </si>
  <si>
    <t>• ไม่ครอบคลุม: ภาษีมูลค่าเพิ่ม ภาษีเงินได้รอการตัดบัญชี การเปลี่ยนแปลงสัญญา (modification) การวัดมูลค่าใหม่ (remeasurement) การด้อยค่า และสัญญาเช่าด้านผู้ให้เช่า / Not covered: VAT, deferred tax, modifications, remeasurements, impairment, lessor accounting.</t>
  </si>
  <si>
    <t>ตัวอย่างที่กรอกไว้ (Pre-filled example)</t>
  </si>
  <si>
    <t>เริ่ม 01/01/2026 · 36 เดือน · ค่าเช่า 50,000 บาท/เดือน จ่ายปลายงวด · IBR 5% ต่อปี · IDC 20,000 บาท · สิ่งจูงใจ 0 · ต้นทุนรื้อถอน 0 → หนี้สินเริ่มแรก ≈ 1,668,285.06 บาท และ ROU ≈ 1,688,285.06 บาท (แทนที่ด้วยข้อมูลจริงของกิจการ / replace with your own data)</t>
  </si>
  <si>
    <t>แผนที่ชีต (Sheet map)</t>
  </si>
  <si>
    <t>• ข้อมูลนำเข้า (Inputs) — ข้อมูลนำเข้า การคำนวณหลัก และการทดสอบข้อยกเว้น</t>
  </si>
  <si>
    <t>• ตารางหนี้สิน (Liab. schedule) — ตารางหนี้สินรายเดือน: ยอดยกมา ดอกเบี้ย ค่าเช่า ยอดคงเหลือ (ชื่อชีตย่อเนื่องจาก Excel จำกัด 31 ตัวอักษร)</t>
  </si>
  <si>
    <t>• ROU &amp; ค่าเสื่อม — ค่าเสื่อมราคารายเดือน ค่าเสื่อมราคาสะสม และมูลค่าตามบัญชี</t>
  </si>
  <si>
    <t>• สรุปรายปี (Annual summary) — ค่าใช้จ่ายรายปี เงินสดจ่าย และหนี้สินส่วนหมุนเวียน/ไม่หมุนเวียน</t>
  </si>
  <si>
    <t>• รายการบัญชี (Journal entries) — รายการบันทึกบัญชีเมื่อเริ่มสัญญาและเดือนที่ 1</t>
  </si>
  <si>
    <t>สัญลักษณ์สี (Colour legend)</t>
  </si>
  <si>
    <t>ช่องสีเหลือง ตัวอักษรสีน้ำเงิน = ข้อมูลนำเข้าที่แก้ไขได้ (Yellow = editable input)</t>
  </si>
  <si>
    <t>ช่องสีเทา / ช่องในตาราง = สูตรคำนวณ ห้ามแก้ไข (Grey / table cells = formulas, do not edit)</t>
  </si>
  <si>
    <t>แถบสีกรมท่า = หัวตาราง (Navy = headers)</t>
  </si>
  <si>
    <t>ข้อจำกัดความรับผิดชอบ (Disclaimer)</t>
  </si>
  <si>
    <t>เทมเพลตนี้เพื่อการศึกษาและใช้งานเบื้องต้น ไม่ใช่คำแนะนำทางวิชาชีพเฉพาะกรณี โปรดตรวจสอบกับมาตรฐาน TFRS ฉบับล่าสุดและผู้เชี่ยวชาญ — MMN Syndicate · mmn-syndicate.vercel.app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</si>
</sst>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yy"/>
    <numFmt numFmtId="165" formatCode="#,##0.00;\(#,##0.00\);&quot;-&quot;"/>
    <numFmt numFmtId="166" formatCode="0.0000%"/>
  </numFmts>
  <fonts count="14" x14ac:knownFonts="1">
    <font>
      <sz val="10"/>
      <color theme="1"/>
      <name val="Tahoma"/>
      <family val="2"/>
    </font>
    <font>
      <b/>
      <sz val="10"/>
      <color rgb="FFFFFFFF"/>
      <name val="Tahoma"/>
      <family val="2"/>
    </font>
    <font>
      <b/>
      <sz val="14"/>
      <color rgb="FFFFFFFF"/>
      <name val="Tahoma"/>
      <family val="2"/>
    </font>
    <font>
      <b/>
      <sz val="10"/>
      <color theme="1"/>
      <name val="Tahoma"/>
      <family val="2"/>
    </font>
    <font>
      <b/>
      <sz val="10"/>
      <color rgb="FF1B1E45"/>
      <name val="Tahoma"/>
      <family val="2"/>
    </font>
    <font>
      <b/>
      <sz val="11"/>
      <color rgb="FF1B1E45"/>
      <name val="Tahoma"/>
      <family val="2"/>
    </font>
    <font>
      <sz val="10"/>
      <color rgb="FF595959"/>
      <name val="Tahoma"/>
      <family val="2"/>
    </font>
    <font>
      <sz val="10"/>
      <color rgb="FF0000FF"/>
      <name val="Tahoma"/>
      <family val="2"/>
    </font>
    <font>
      <b/>
      <sz val="9"/>
      <color indexed="81"/>
      <name val="Tahoma"/>
      <family val="2"/>
    </font>
    <font>
      <i/>
      <sz val="10"/>
      <color theme="1"/>
      <name val="Tahoma"/>
      <family val="2"/>
    </font>
    <font>
      <b/>
      <sz val="10"/>
      <color rgb="FF595959"/>
      <name val="Tahoma"/>
      <family val="2"/>
    </font>
    <font>
      <b/>
      <sz val="16"/>
      <color rgb="FFFFFFFF"/>
      <name val="Tahoma"/>
      <family val="2"/>
    </font>
    <font>
      <sz val="11"/>
      <color rgb="FFFBCC42"/>
      <name val="Tahoma"/>
      <family val="2"/>
    </font>
    <font>
      <b/>
      <sz val="12"/>
      <color rgb="FF1B1E45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1B1E45"/>
        <bgColor indexed="64"/>
      </patternFill>
    </fill>
    <fill>
      <patternFill patternType="solid">
        <fgColor rgb="FFFBCC42"/>
        <bgColor indexed="64"/>
      </patternFill>
    </fill>
    <fill>
      <patternFill patternType="solid">
        <fgColor rgb="FFE8E9F2"/>
        <bgColor indexed="64"/>
      </patternFill>
    </fill>
    <fill>
      <patternFill patternType="solid">
        <fgColor rgb="FFFFF4CC"/>
        <bgColor indexed="64"/>
      </patternFill>
    </fill>
    <fill>
      <patternFill patternType="solid">
        <fgColor rgb="FFF2F2F2"/>
        <bgColor indexed="64"/>
      </patternFill>
    </fill>
  </fills>
  <borders count="8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FBCC42"/>
      </left>
      <right style="thin">
        <color rgb="FFFBCC42"/>
      </right>
      <top style="thin">
        <color rgb="FFFBCC42"/>
      </top>
      <bottom style="thin">
        <color rgb="FFFBCC42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/>
      <bottom/>
      <diagonal/>
    </border>
    <border>
      <left/>
      <right/>
      <top/>
      <bottom style="thin">
        <color rgb="FFBFBFBF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/>
    <xf numFmtId="0" fontId="2" fillId="2" borderId="0" xfId="0" applyFont="1" applyFill="1" applyAlignment="1">
      <alignment horizontal="left" vertical="center"/>
    </xf>
    <xf numFmtId="0" fontId="4" fillId="3" borderId="0" xfId="0" applyFont="1" applyFill="1" applyAlignment="1"/>
    <xf numFmtId="0" fontId="5" fillId="4" borderId="0" xfId="0" applyFont="1" applyFill="1" applyAlignment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/>
    <xf numFmtId="0" fontId="6" fillId="0" borderId="1" xfId="0" applyFont="1" applyFill="1" applyBorder="1" applyAlignment="1">
      <alignment wrapText="1"/>
    </xf>
    <xf numFmtId="0" fontId="0" fillId="6" borderId="3" xfId="0" applyFill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6" borderId="3" xfId="0" applyFill="1" applyBorder="1" applyAlignment="1">
      <alignment horizontal="left" vertical="center" wrapText="1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3" fillId="6" borderId="3" xfId="0" applyFont="1" applyFill="1" applyBorder="1" applyAlignment="1">
      <alignment horizontal="left" vertical="center" wrapText="1"/>
    </xf>
    <xf numFmtId="164" fontId="7" fillId="5" borderId="2" xfId="0" applyNumberFormat="1" applyFont="1" applyFill="1" applyBorder="1" applyAlignment="1" applyProtection="1">
      <alignment horizontal="right" vertical="center"/>
      <protection locked="0"/>
    </xf>
    <xf numFmtId="1" fontId="7" fillId="5" borderId="2" xfId="0" applyNumberFormat="1" applyFont="1" applyFill="1" applyBorder="1" applyAlignment="1" applyProtection="1">
      <alignment horizontal="right" vertical="center"/>
      <protection locked="0"/>
    </xf>
    <xf numFmtId="165" fontId="7" fillId="5" borderId="2" xfId="0" applyNumberFormat="1" applyFont="1" applyFill="1" applyBorder="1" applyAlignment="1" applyProtection="1">
      <alignment horizontal="right" vertical="center"/>
      <protection locked="0"/>
    </xf>
    <xf numFmtId="10" fontId="7" fillId="5" borderId="2" xfId="0" applyNumberFormat="1" applyFont="1" applyFill="1" applyBorder="1" applyAlignment="1" applyProtection="1">
      <alignment horizontal="right" vertical="center"/>
      <protection locked="0"/>
    </xf>
    <xf numFmtId="0" fontId="7" fillId="5" borderId="2" xfId="0" applyFont="1" applyFill="1" applyBorder="1" applyAlignment="1" applyProtection="1">
      <alignment horizontal="left" vertical="center"/>
      <protection locked="0"/>
    </xf>
    <xf numFmtId="166" fontId="0" fillId="6" borderId="1" xfId="0" applyNumberFormat="1" applyFill="1" applyBorder="1" applyAlignment="1">
      <alignment horizontal="right" vertical="center"/>
    </xf>
    <xf numFmtId="1" fontId="0" fillId="6" borderId="1" xfId="0" applyNumberFormat="1" applyFill="1" applyBorder="1" applyAlignment="1">
      <alignment horizontal="right" vertical="center"/>
    </xf>
    <xf numFmtId="165" fontId="3" fillId="6" borderId="1" xfId="0" applyNumberFormat="1" applyFont="1" applyFill="1" applyBorder="1" applyAlignment="1">
      <alignment horizontal="right" vertical="center"/>
    </xf>
    <xf numFmtId="165" fontId="0" fillId="6" borderId="1" xfId="0" applyNumberFormat="1" applyFill="1" applyBorder="1" applyAlignment="1">
      <alignment horizontal="right" vertical="center"/>
    </xf>
    <xf numFmtId="164" fontId="0" fillId="6" borderId="1" xfId="0" applyNumberFormat="1" applyFill="1" applyBorder="1" applyAlignment="1">
      <alignment horizontal="right" vertical="center"/>
    </xf>
    <xf numFmtId="0" fontId="9" fillId="0" borderId="0" xfId="0" applyFont="1" applyAlignment="1"/>
    <xf numFmtId="0" fontId="3" fillId="0" borderId="0" xfId="0" applyFont="1" applyAlignment="1">
      <alignment horizontal="right"/>
    </xf>
    <xf numFmtId="165" fontId="0" fillId="6" borderId="1" xfId="0" applyNumberFormat="1" applyFill="1" applyBorder="1" applyAlignment="1">
      <alignment horizontal="right"/>
    </xf>
    <xf numFmtId="0" fontId="3" fillId="0" borderId="6" xfId="0" applyFont="1" applyBorder="1" applyAlignment="1">
      <alignment horizontal="right"/>
    </xf>
    <xf numFmtId="165" fontId="3" fillId="6" borderId="1" xfId="0" applyNumberFormat="1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165" fontId="0" fillId="0" borderId="1" xfId="0" applyNumberFormat="1" applyFill="1" applyBorder="1"/>
    <xf numFmtId="0" fontId="9" fillId="0" borderId="0" xfId="0" applyFont="1" applyAlignment="1">
      <alignment wrapText="1"/>
    </xf>
    <xf numFmtId="0" fontId="0" fillId="0" borderId="0" xfId="0" applyAlignment="1">
      <alignment wrapText="1"/>
    </xf>
    <xf numFmtId="0" fontId="9" fillId="0" borderId="0" xfId="0" applyFont="1"/>
    <xf numFmtId="0" fontId="3" fillId="0" borderId="0" xfId="0" applyFont="1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5" fontId="0" fillId="0" borderId="1" xfId="0" applyNumberFormat="1" applyBorder="1"/>
    <xf numFmtId="0" fontId="3" fillId="4" borderId="1" xfId="0" applyFont="1" applyFill="1" applyBorder="1"/>
    <xf numFmtId="165" fontId="3" fillId="4" borderId="1" xfId="0" applyNumberFormat="1" applyFont="1" applyFill="1" applyBorder="1"/>
    <xf numFmtId="0" fontId="0" fillId="6" borderId="1" xfId="0" applyFill="1" applyBorder="1" applyAlignment="1">
      <alignment horizontal="center"/>
    </xf>
    <xf numFmtId="0" fontId="5" fillId="4" borderId="7" xfId="0" applyFont="1" applyFill="1" applyBorder="1" applyAlignment="1"/>
    <xf numFmtId="0" fontId="3" fillId="0" borderId="1" xfId="0" applyFont="1" applyFill="1" applyBorder="1"/>
    <xf numFmtId="0" fontId="6" fillId="0" borderId="1" xfId="0" applyFont="1" applyFill="1" applyBorder="1"/>
    <xf numFmtId="0" fontId="10" fillId="4" borderId="1" xfId="0" applyFont="1" applyFill="1" applyBorder="1"/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top" wrapText="1"/>
    </xf>
    <xf numFmtId="0" fontId="11" fillId="2" borderId="0" xfId="0" applyFont="1" applyFill="1" applyAlignment="1">
      <alignment vertical="center" wrapText="1"/>
    </xf>
    <xf numFmtId="0" fontId="12" fillId="2" borderId="0" xfId="0" applyFont="1" applyFill="1" applyAlignment="1">
      <alignment vertical="top" wrapText="1"/>
    </xf>
    <xf numFmtId="0" fontId="4" fillId="3" borderId="0" xfId="0" applyFont="1" applyFill="1" applyAlignment="1">
      <alignment vertical="top" wrapText="1"/>
    </xf>
    <xf numFmtId="0" fontId="13" fillId="4" borderId="0" xfId="0" applyFont="1" applyFill="1" applyAlignment="1">
      <alignment vertical="top" wrapText="1"/>
    </xf>
    <xf numFmtId="0" fontId="0" fillId="0" borderId="0" xfId="0" applyAlignment="1">
      <alignment horizontal="left" vertical="top" wrapText="1" indent="1"/>
    </xf>
    <xf numFmtId="0" fontId="7" fillId="5" borderId="2" xfId="0" applyFont="1" applyFill="1" applyBorder="1" applyAlignment="1">
      <alignment vertical="top" wrapText="1"/>
    </xf>
    <xf numFmtId="0" fontId="0" fillId="6" borderId="1" xfId="0" applyFill="1" applyBorder="1" applyAlignment="1">
      <alignment vertical="top" wrapText="1"/>
    </xf>
    <xf numFmtId="0" fontId="4" fillId="5" borderId="2" xfId="0" applyFont="1" applyFill="1" applyBorder="1" applyAlignment="1">
      <alignment vertical="top" wrapText="1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F2E44-43C5-482F-90FA-66B754D91502}">
  <sheetPr>
    <tabColor rgb="FF1B1E45"/>
    <pageSetUpPr fitToPage="1"/>
  </sheetPr>
  <dimension ref="A1:A49"/>
  <sheetViews>
    <sheetView showGridLines="0" tabSelected="1" workbookViewId="0"/>
  </sheetViews>
  <sheetFormatPr defaultRowHeight="13.2" x14ac:dyDescent="0.25"/>
  <cols>
    <col min="1" max="1" width="125.77734375" customWidth="1"/>
  </cols>
  <sheetData>
    <row r="1" spans="1:1" ht="36" customHeight="1" x14ac:dyDescent="0.25">
      <c r="A1" s="50" t="s">
        <v>145</v>
      </c>
    </row>
    <row r="2" spans="1:1" ht="13.8" x14ac:dyDescent="0.25">
      <c r="A2" s="51" t="s">
        <v>146</v>
      </c>
    </row>
    <row r="3" spans="1:1" x14ac:dyDescent="0.25">
      <c r="A3" s="52" t="s">
        <v>1</v>
      </c>
    </row>
    <row r="4" spans="1:1" x14ac:dyDescent="0.25">
      <c r="A4" s="48"/>
    </row>
    <row r="5" spans="1:1" ht="15" x14ac:dyDescent="0.25">
      <c r="A5" s="53" t="s">
        <v>147</v>
      </c>
    </row>
    <row r="6" spans="1:1" ht="26.4" x14ac:dyDescent="0.25">
      <c r="A6" s="54" t="s">
        <v>148</v>
      </c>
    </row>
    <row r="7" spans="1:1" ht="26.4" x14ac:dyDescent="0.25">
      <c r="A7" s="54" t="s">
        <v>149</v>
      </c>
    </row>
    <row r="8" spans="1:1" ht="26.4" x14ac:dyDescent="0.25">
      <c r="A8" s="54" t="s">
        <v>150</v>
      </c>
    </row>
    <row r="9" spans="1:1" x14ac:dyDescent="0.25">
      <c r="A9" s="54" t="s">
        <v>151</v>
      </c>
    </row>
    <row r="10" spans="1:1" x14ac:dyDescent="0.25">
      <c r="A10" s="54" t="s">
        <v>152</v>
      </c>
    </row>
    <row r="11" spans="1:1" x14ac:dyDescent="0.25">
      <c r="A11" s="48"/>
    </row>
    <row r="12" spans="1:1" ht="15" x14ac:dyDescent="0.25">
      <c r="A12" s="53" t="s">
        <v>153</v>
      </c>
    </row>
    <row r="13" spans="1:1" ht="26.4" x14ac:dyDescent="0.25">
      <c r="A13" s="54" t="s">
        <v>154</v>
      </c>
    </row>
    <row r="14" spans="1:1" x14ac:dyDescent="0.25">
      <c r="A14" s="54" t="s">
        <v>155</v>
      </c>
    </row>
    <row r="15" spans="1:1" ht="26.4" x14ac:dyDescent="0.25">
      <c r="A15" s="54" t="s">
        <v>156</v>
      </c>
    </row>
    <row r="16" spans="1:1" x14ac:dyDescent="0.25">
      <c r="A16" s="54" t="s">
        <v>157</v>
      </c>
    </row>
    <row r="17" spans="1:1" ht="26.4" x14ac:dyDescent="0.25">
      <c r="A17" s="54" t="s">
        <v>158</v>
      </c>
    </row>
    <row r="18" spans="1:1" ht="26.4" x14ac:dyDescent="0.25">
      <c r="A18" s="54" t="s">
        <v>159</v>
      </c>
    </row>
    <row r="19" spans="1:1" x14ac:dyDescent="0.25">
      <c r="A19" s="48"/>
    </row>
    <row r="20" spans="1:1" ht="15" x14ac:dyDescent="0.25">
      <c r="A20" s="53" t="s">
        <v>160</v>
      </c>
    </row>
    <row r="21" spans="1:1" ht="26.4" x14ac:dyDescent="0.25">
      <c r="A21" s="54" t="s">
        <v>161</v>
      </c>
    </row>
    <row r="22" spans="1:1" ht="39.6" x14ac:dyDescent="0.25">
      <c r="A22" s="54" t="s">
        <v>162</v>
      </c>
    </row>
    <row r="23" spans="1:1" x14ac:dyDescent="0.25">
      <c r="A23" s="54" t="s">
        <v>163</v>
      </c>
    </row>
    <row r="24" spans="1:1" ht="26.4" x14ac:dyDescent="0.25">
      <c r="A24" s="54" t="s">
        <v>164</v>
      </c>
    </row>
    <row r="25" spans="1:1" ht="26.4" x14ac:dyDescent="0.25">
      <c r="A25" s="54" t="s">
        <v>165</v>
      </c>
    </row>
    <row r="26" spans="1:1" ht="26.4" x14ac:dyDescent="0.25">
      <c r="A26" s="54" t="s">
        <v>166</v>
      </c>
    </row>
    <row r="27" spans="1:1" ht="26.4" x14ac:dyDescent="0.25">
      <c r="A27" s="54" t="s">
        <v>167</v>
      </c>
    </row>
    <row r="28" spans="1:1" ht="26.4" x14ac:dyDescent="0.25">
      <c r="A28" s="54" t="s">
        <v>168</v>
      </c>
    </row>
    <row r="29" spans="1:1" ht="26.4" x14ac:dyDescent="0.25">
      <c r="A29" s="54" t="s">
        <v>169</v>
      </c>
    </row>
    <row r="30" spans="1:1" ht="39.6" x14ac:dyDescent="0.25">
      <c r="A30" s="54" t="s">
        <v>170</v>
      </c>
    </row>
    <row r="31" spans="1:1" ht="26.4" x14ac:dyDescent="0.25">
      <c r="A31" s="54" t="s">
        <v>171</v>
      </c>
    </row>
    <row r="32" spans="1:1" x14ac:dyDescent="0.25">
      <c r="A32" s="48"/>
    </row>
    <row r="33" spans="1:1" ht="15" x14ac:dyDescent="0.25">
      <c r="A33" s="53" t="s">
        <v>172</v>
      </c>
    </row>
    <row r="34" spans="1:1" ht="26.4" x14ac:dyDescent="0.25">
      <c r="A34" s="48" t="s">
        <v>173</v>
      </c>
    </row>
    <row r="35" spans="1:1" x14ac:dyDescent="0.25">
      <c r="A35" s="48"/>
    </row>
    <row r="36" spans="1:1" ht="15" x14ac:dyDescent="0.25">
      <c r="A36" s="53" t="s">
        <v>174</v>
      </c>
    </row>
    <row r="37" spans="1:1" x14ac:dyDescent="0.25">
      <c r="A37" s="54" t="s">
        <v>175</v>
      </c>
    </row>
    <row r="38" spans="1:1" x14ac:dyDescent="0.25">
      <c r="A38" s="54" t="s">
        <v>176</v>
      </c>
    </row>
    <row r="39" spans="1:1" x14ac:dyDescent="0.25">
      <c r="A39" s="54" t="s">
        <v>177</v>
      </c>
    </row>
    <row r="40" spans="1:1" x14ac:dyDescent="0.25">
      <c r="A40" s="54" t="s">
        <v>178</v>
      </c>
    </row>
    <row r="41" spans="1:1" x14ac:dyDescent="0.25">
      <c r="A41" s="54" t="s">
        <v>179</v>
      </c>
    </row>
    <row r="42" spans="1:1" x14ac:dyDescent="0.25">
      <c r="A42" s="48"/>
    </row>
    <row r="43" spans="1:1" ht="15" x14ac:dyDescent="0.25">
      <c r="A43" s="53" t="s">
        <v>180</v>
      </c>
    </row>
    <row r="44" spans="1:1" x14ac:dyDescent="0.25">
      <c r="A44" s="55" t="s">
        <v>181</v>
      </c>
    </row>
    <row r="45" spans="1:1" x14ac:dyDescent="0.25">
      <c r="A45" s="56" t="s">
        <v>182</v>
      </c>
    </row>
    <row r="46" spans="1:1" x14ac:dyDescent="0.25">
      <c r="A46" s="49" t="s">
        <v>183</v>
      </c>
    </row>
    <row r="47" spans="1:1" x14ac:dyDescent="0.25">
      <c r="A47" s="48"/>
    </row>
    <row r="48" spans="1:1" ht="15" x14ac:dyDescent="0.25">
      <c r="A48" s="53" t="s">
        <v>184</v>
      </c>
    </row>
    <row r="49" spans="1:1" ht="26.4" x14ac:dyDescent="0.25">
      <c r="A49" s="57" t="s">
        <v>185</v>
      </c>
    </row>
  </sheetData>
  <printOptions horizontalCentered="1"/>
  <pageMargins left="0.3888888888888889" right="0.3888888888888889" top="0.5" bottom="0.55555555555555558" header="0.3" footer="0.3"/>
  <pageSetup paperSize="9" fitToHeight="0" orientation="landscape" verticalDpi="0" r:id="rId1"/>
  <headerFooter>
    <oddFooter>&amp;CMMN Syndicate · mmn-syndicate.vercel.app&amp;R&amp;P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E9687-A697-468D-961F-846C2BA0A61D}">
  <sheetPr>
    <tabColor rgb="FFFBCC42"/>
    <pageSetUpPr fitToPage="1"/>
  </sheetPr>
  <dimension ref="A1:D37"/>
  <sheetViews>
    <sheetView zoomScale="90" zoomScaleNormal="90" workbookViewId="0">
      <pane ySplit="5" topLeftCell="A6" activePane="bottomLeft" state="frozen"/>
      <selection pane="bottomLeft" activeCell="A6" sqref="A6"/>
    </sheetView>
  </sheetViews>
  <sheetFormatPr defaultRowHeight="13.2" x14ac:dyDescent="0.25"/>
  <cols>
    <col min="1" max="1" width="48.77734375" customWidth="1"/>
    <col min="2" max="2" width="20.77734375" customWidth="1"/>
    <col min="3" max="3" width="14.77734375" customWidth="1"/>
    <col min="4" max="4" width="70.77734375" customWidth="1"/>
  </cols>
  <sheetData>
    <row r="1" spans="1:4" ht="30" customHeight="1" x14ac:dyDescent="0.25">
      <c r="A1" s="2" t="s">
        <v>0</v>
      </c>
      <c r="B1" s="2"/>
      <c r="C1" s="2"/>
      <c r="D1" s="2"/>
    </row>
    <row r="2" spans="1:4" x14ac:dyDescent="0.25">
      <c r="A2" s="3" t="s">
        <v>1</v>
      </c>
      <c r="B2" s="3"/>
      <c r="C2" s="3"/>
      <c r="D2" s="3"/>
    </row>
    <row r="4" spans="1:4" ht="13.8" x14ac:dyDescent="0.25">
      <c r="A4" s="4" t="s">
        <v>2</v>
      </c>
      <c r="B4" s="4"/>
      <c r="C4" s="4"/>
      <c r="D4" s="4"/>
    </row>
    <row r="5" spans="1:4" x14ac:dyDescent="0.25">
      <c r="A5" s="5" t="s">
        <v>3</v>
      </c>
      <c r="B5" s="5" t="s">
        <v>4</v>
      </c>
      <c r="C5" s="5" t="s">
        <v>5</v>
      </c>
      <c r="D5" s="5" t="s">
        <v>6</v>
      </c>
    </row>
    <row r="6" spans="1:4" ht="26.4" x14ac:dyDescent="0.25">
      <c r="A6" s="6" t="s">
        <v>7</v>
      </c>
      <c r="B6" s="20" t="s">
        <v>8</v>
      </c>
      <c r="C6" s="7"/>
      <c r="D6" s="8" t="s">
        <v>9</v>
      </c>
    </row>
    <row r="7" spans="1:4" ht="26.4" x14ac:dyDescent="0.25">
      <c r="A7" s="6" t="s">
        <v>10</v>
      </c>
      <c r="B7" s="16">
        <v>46023</v>
      </c>
      <c r="C7" s="7" t="s">
        <v>11</v>
      </c>
      <c r="D7" s="8" t="s">
        <v>12</v>
      </c>
    </row>
    <row r="8" spans="1:4" ht="26.4" x14ac:dyDescent="0.25">
      <c r="A8" s="6" t="s">
        <v>13</v>
      </c>
      <c r="B8" s="17">
        <v>36</v>
      </c>
      <c r="C8" s="7" t="s">
        <v>14</v>
      </c>
      <c r="D8" s="8" t="s">
        <v>15</v>
      </c>
    </row>
    <row r="9" spans="1:4" ht="26.4" x14ac:dyDescent="0.25">
      <c r="A9" s="6" t="s">
        <v>16</v>
      </c>
      <c r="B9" s="18">
        <v>50000</v>
      </c>
      <c r="C9" s="7" t="s">
        <v>17</v>
      </c>
      <c r="D9" s="8" t="s">
        <v>18</v>
      </c>
    </row>
    <row r="10" spans="1:4" ht="26.4" x14ac:dyDescent="0.25">
      <c r="A10" s="6" t="s">
        <v>19</v>
      </c>
      <c r="B10" s="20" t="s">
        <v>20</v>
      </c>
      <c r="C10" s="7"/>
      <c r="D10" s="8" t="s">
        <v>21</v>
      </c>
    </row>
    <row r="11" spans="1:4" ht="26.4" x14ac:dyDescent="0.25">
      <c r="A11" s="6" t="s">
        <v>22</v>
      </c>
      <c r="B11" s="19">
        <v>0.05</v>
      </c>
      <c r="C11" s="7" t="s">
        <v>23</v>
      </c>
      <c r="D11" s="8" t="s">
        <v>24</v>
      </c>
    </row>
    <row r="12" spans="1:4" ht="26.4" x14ac:dyDescent="0.25">
      <c r="A12" s="6" t="s">
        <v>25</v>
      </c>
      <c r="B12" s="18">
        <v>20000</v>
      </c>
      <c r="C12" s="7" t="s">
        <v>17</v>
      </c>
      <c r="D12" s="8" t="s">
        <v>26</v>
      </c>
    </row>
    <row r="13" spans="1:4" ht="26.4" x14ac:dyDescent="0.25">
      <c r="A13" s="6" t="s">
        <v>27</v>
      </c>
      <c r="B13" s="18">
        <v>0</v>
      </c>
      <c r="C13" s="7" t="s">
        <v>17</v>
      </c>
      <c r="D13" s="8" t="s">
        <v>28</v>
      </c>
    </row>
    <row r="14" spans="1:4" ht="26.4" x14ac:dyDescent="0.25">
      <c r="A14" s="6" t="s">
        <v>29</v>
      </c>
      <c r="B14" s="18">
        <v>0</v>
      </c>
      <c r="C14" s="7" t="s">
        <v>17</v>
      </c>
      <c r="D14" s="8" t="s">
        <v>30</v>
      </c>
    </row>
    <row r="15" spans="1:4" ht="26.4" x14ac:dyDescent="0.25">
      <c r="A15" s="6" t="s">
        <v>31</v>
      </c>
      <c r="B15" s="18">
        <v>0</v>
      </c>
      <c r="C15" s="7" t="s">
        <v>17</v>
      </c>
      <c r="D15" s="8" t="s">
        <v>32</v>
      </c>
    </row>
    <row r="16" spans="1:4" ht="26.4" x14ac:dyDescent="0.25">
      <c r="A16" s="6" t="s">
        <v>33</v>
      </c>
      <c r="B16" s="20" t="s">
        <v>34</v>
      </c>
      <c r="C16" s="7"/>
      <c r="D16" s="8" t="s">
        <v>35</v>
      </c>
    </row>
    <row r="17" spans="1:4" ht="26.4" x14ac:dyDescent="0.25">
      <c r="A17" s="6" t="s">
        <v>36</v>
      </c>
      <c r="B17" s="18">
        <v>30000000</v>
      </c>
      <c r="C17" s="7" t="s">
        <v>17</v>
      </c>
      <c r="D17" s="8" t="s">
        <v>37</v>
      </c>
    </row>
    <row r="18" spans="1:4" ht="26.4" x14ac:dyDescent="0.25">
      <c r="A18" s="6" t="s">
        <v>38</v>
      </c>
      <c r="B18" s="18">
        <v>170000</v>
      </c>
      <c r="C18" s="7" t="s">
        <v>17</v>
      </c>
      <c r="D18" s="8" t="s">
        <v>39</v>
      </c>
    </row>
    <row r="19" spans="1:4" ht="30" customHeight="1" x14ac:dyDescent="0.25">
      <c r="A19" s="6" t="s">
        <v>40</v>
      </c>
      <c r="B19" s="9" t="str">
        <f>IF(OR(_xlfn.SINGLE(in_Term)&lt;1,_xlfn.SINGLE(in_Term)&gt;120,_xlfn.SINGLE(in_Term)&lt;&gt;INT(_xlfn.SINGLE(in_Term))),"✘ อายุสัญญาต้องเป็นจำนวนเต็ม 1–120 เดือน / term must be 1–120 whole months","✔ ข้อมูลอยู่ในช่วงที่รองรับ / inputs within supported range")</f>
        <v>✔ ข้อมูลอยู่ในช่วงที่รองรับ / inputs within supported range</v>
      </c>
      <c r="C19" s="10"/>
      <c r="D19" s="11"/>
    </row>
    <row r="21" spans="1:4" ht="13.8" x14ac:dyDescent="0.25">
      <c r="A21" s="4" t="s">
        <v>41</v>
      </c>
      <c r="B21" s="4"/>
      <c r="C21" s="4"/>
      <c r="D21" s="4"/>
    </row>
    <row r="22" spans="1:4" ht="26.4" x14ac:dyDescent="0.25">
      <c r="A22" s="6" t="s">
        <v>42</v>
      </c>
      <c r="B22" s="21">
        <f>in_IBR/12</f>
        <v>4.1666666666666666E-3</v>
      </c>
      <c r="C22" s="7" t="s">
        <v>43</v>
      </c>
      <c r="D22" s="8" t="s">
        <v>44</v>
      </c>
    </row>
    <row r="23" spans="1:4" ht="26.4" x14ac:dyDescent="0.25">
      <c r="A23" s="6" t="s">
        <v>45</v>
      </c>
      <c r="B23" s="22">
        <f>IF(ISNUMBER(SEARCH("advance",in_Timing)),1,0)</f>
        <v>0</v>
      </c>
      <c r="C23" s="7"/>
      <c r="D23" s="8" t="s">
        <v>46</v>
      </c>
    </row>
    <row r="24" spans="1:4" ht="26.4" x14ac:dyDescent="0.25">
      <c r="A24" s="6" t="s">
        <v>47</v>
      </c>
      <c r="B24" s="22">
        <f>in_Term-_xlfn.SINGLE(c_Adv)</f>
        <v>36</v>
      </c>
      <c r="C24" s="7" t="s">
        <v>48</v>
      </c>
      <c r="D24" s="8" t="s">
        <v>49</v>
      </c>
    </row>
    <row r="25" spans="1:4" ht="26.4" x14ac:dyDescent="0.25">
      <c r="A25" s="6" t="s">
        <v>50</v>
      </c>
      <c r="B25" s="23">
        <f>IF(_xlfn.SINGLE(c_Adv)=1,PV(_xlfn.SINGLE(c_Rate),in_Term,-in_Pmt,0,1)-in_Pmt,PV(_xlfn.SINGLE(c_Rate),in_Term,-in_Pmt,0,0))</f>
        <v>1668285.0641870452</v>
      </c>
      <c r="C25" s="7" t="s">
        <v>17</v>
      </c>
      <c r="D25" s="8" t="s">
        <v>51</v>
      </c>
    </row>
    <row r="26" spans="1:4" ht="26.4" x14ac:dyDescent="0.25">
      <c r="A26" s="6" t="s">
        <v>52</v>
      </c>
      <c r="B26" s="24">
        <f>_xlfn.SINGLE(c_Adv)*in_Pmt</f>
        <v>0</v>
      </c>
      <c r="C26" s="7" t="s">
        <v>17</v>
      </c>
      <c r="D26" s="8" t="s">
        <v>53</v>
      </c>
    </row>
    <row r="27" spans="1:4" ht="26.4" x14ac:dyDescent="0.25">
      <c r="A27" s="6" t="s">
        <v>54</v>
      </c>
      <c r="B27" s="23">
        <f>_xlfn.SINGLE(c_L0)+_xlfn.SINGLE(c_FirstPmt)+in_Prepaid+in_IDC+in_Restor-in_Incent</f>
        <v>1688285.0641870452</v>
      </c>
      <c r="C27" s="7" t="s">
        <v>17</v>
      </c>
      <c r="D27" s="8" t="s">
        <v>55</v>
      </c>
    </row>
    <row r="28" spans="1:4" ht="26.4" x14ac:dyDescent="0.25">
      <c r="A28" s="6" t="s">
        <v>56</v>
      </c>
      <c r="B28" s="24">
        <f>IF(in_Term&gt;0,_xlfn.SINGLE(c_ROU)/in_Term,0)</f>
        <v>46896.807338529034</v>
      </c>
      <c r="C28" s="7" t="s">
        <v>17</v>
      </c>
      <c r="D28" s="8" t="s">
        <v>57</v>
      </c>
    </row>
    <row r="29" spans="1:4" ht="26.4" x14ac:dyDescent="0.25">
      <c r="A29" s="6" t="s">
        <v>58</v>
      </c>
      <c r="B29" s="22">
        <f>ROUNDUP(in_Term/12,0)</f>
        <v>3</v>
      </c>
      <c r="C29" s="7" t="s">
        <v>59</v>
      </c>
      <c r="D29" s="7"/>
    </row>
    <row r="30" spans="1:4" ht="26.4" x14ac:dyDescent="0.25">
      <c r="A30" s="6" t="s">
        <v>60</v>
      </c>
      <c r="B30" s="24">
        <f>in_Pmt*in_Term</f>
        <v>1800000</v>
      </c>
      <c r="C30" s="7" t="s">
        <v>17</v>
      </c>
      <c r="D30" s="7"/>
    </row>
    <row r="31" spans="1:4" ht="26.4" x14ac:dyDescent="0.25">
      <c r="A31" s="6" t="s">
        <v>61</v>
      </c>
      <c r="B31" s="24">
        <f>_xlfn.SINGLE(c_TotPmt)-_xlfn.SINGLE(c_FirstPmt)-_xlfn.SINGLE(c_L0)</f>
        <v>131714.93581295479</v>
      </c>
      <c r="C31" s="7" t="s">
        <v>17</v>
      </c>
      <c r="D31" s="8" t="s">
        <v>62</v>
      </c>
    </row>
    <row r="32" spans="1:4" ht="26.4" x14ac:dyDescent="0.25">
      <c r="A32" s="6" t="s">
        <v>63</v>
      </c>
      <c r="B32" s="25">
        <f>EDATE(in_Start,in_Term)-1</f>
        <v>47118</v>
      </c>
      <c r="C32" s="7"/>
      <c r="D32" s="7"/>
    </row>
    <row r="34" spans="1:4" ht="13.8" x14ac:dyDescent="0.25">
      <c r="A34" s="4" t="s">
        <v>64</v>
      </c>
      <c r="B34" s="4"/>
      <c r="C34" s="4"/>
      <c r="D34" s="4"/>
    </row>
    <row r="35" spans="1:4" ht="30" customHeight="1" x14ac:dyDescent="0.25">
      <c r="A35" s="6" t="s">
        <v>65</v>
      </c>
      <c r="B35" s="12" t="str">
        <f>IF(AND(in_Term&lt;=12,ISNUMBER(SEARCH("No",in_PurchOpt))),"✔ อาจเข้าข้อยกเว้นสัญญาเช่าระยะสั้น — หากกิจการเลือกใช้ (เลือกตามประเภทสินทรัพย์อ้างอิง) รับรู้ค่าเช่าเป็นค่าใช้จ่ายตามวิธีเส้นตรง / Short-term exemption may apply: if elected, expense straight-line","✘ ไม่เข้าข้อยกเว้นสัญญาเช่าระยะสั้น / Not a short-term lease")</f>
        <v>✘ ไม่เข้าข้อยกเว้นสัญญาเช่าระยะสั้น / Not a short-term lease</v>
      </c>
      <c r="C35" s="13"/>
      <c r="D35" s="14"/>
    </row>
    <row r="36" spans="1:4" ht="30" customHeight="1" x14ac:dyDescent="0.25">
      <c r="A36" s="6" t="s">
        <v>66</v>
      </c>
      <c r="B36" s="12" t="str">
        <f>IF(in_AssetVal&lt;=in_LowThr,"✔ อาจเข้าข้อยกเว้นสินทรัพย์มูลค่าต่ำ — หากกิจการเลือกใช้ (เลือกเป็นรายสัญญา) รับรู้ค่าเช่าเป็นค่าใช้จ่ายตามวิธีเส้นตรง / Low-value exemption may apply: if elected, expense straight-line","✘ ไม่เข้าข้อยกเว้นสินทรัพย์มูลค่าต่ำ / Not low-value")</f>
        <v>✘ ไม่เข้าข้อยกเว้นสินทรัพย์มูลค่าต่ำ / Not low-value</v>
      </c>
      <c r="C36" s="13"/>
      <c r="D36" s="14"/>
    </row>
    <row r="37" spans="1:4" ht="30" customHeight="1" x14ac:dyDescent="0.25">
      <c r="A37" s="6" t="s">
        <v>67</v>
      </c>
      <c r="B37" s="15" t="str">
        <f>IF(OR(LEFT(B35,1)="✔",LEFT(B36,1)="✔"),"⚠ เข้าเงื่อนไขข้อยกเว้นได้ — หากเลือกใช้ข้อยกเว้น ไม่ต้องรับรู้ ROU/หนี้สิน และไม่ต้องใช้ตารางในเทมเพลตนี้ / if the exemption is elected, the schedules are not needed","ใช้ตารางในเทมเพลตนี้ — รับรู้สินทรัพย์สิทธิการใช้และหนี้สินตามสัญญาเช่า / Recognise ROU asset and lease liability using the schedules")</f>
        <v>ใช้ตารางในเทมเพลตนี้ — รับรู้สินทรัพย์สิทธิการใช้และหนี้สินตามสัญญาเช่า / Recognise ROU asset and lease liability using the schedules</v>
      </c>
      <c r="C37" s="13"/>
      <c r="D37" s="14"/>
    </row>
  </sheetData>
  <mergeCells count="9">
    <mergeCell ref="B35:D35"/>
    <mergeCell ref="B36:D36"/>
    <mergeCell ref="B37:D37"/>
    <mergeCell ref="A1:D1"/>
    <mergeCell ref="A2:D2"/>
    <mergeCell ref="A4:D4"/>
    <mergeCell ref="B19:D19"/>
    <mergeCell ref="A21:D21"/>
    <mergeCell ref="A34:D34"/>
  </mergeCells>
  <dataValidations count="12">
    <dataValidation type="date" allowBlank="1" showInputMessage="1" showErrorMessage="1" error="กรอกวันที่ dd/mm/yyyy" promptTitle="วันที่ (Date)" prompt="กรอกวันที่ dd/mm/yyyy" sqref="B7" xr:uid="{A2FE9985-7853-46D7-977D-EBC6F9E5274A}">
      <formula1>DATE(2000,1,1)</formula1>
      <formula2>DATE(2100,12,31)</formula2>
    </dataValidation>
    <dataValidation type="whole" allowBlank="1" showInputMessage="1" showErrorMessage="1" error="จำนวนเต็ม 1–120 เดือน / whole months 1–120" promptTitle="อายุสัญญา (Term)" prompt="จำนวนเต็ม 1–120 เดือน / whole months 1–120" sqref="B8" xr:uid="{5E90FC71-045D-4FE9-AD97-C38AE31E87AF}">
      <formula1>1</formula1>
      <formula2>120</formula2>
    </dataValidation>
    <dataValidation type="decimal" allowBlank="1" showInputMessage="1" showErrorMessage="1" error="จำนวนเงิน ≥ 0" promptTitle="ค่าเช่า (Payment)" prompt="จำนวนเงิน ≥ 0" sqref="B9" xr:uid="{BB03968B-3DB9-462E-A2BF-23601A0D93FC}">
      <formula1>0</formula1>
      <formula2>1000000000000</formula2>
    </dataValidation>
    <dataValidation type="list" allowBlank="1" showInputMessage="1" showErrorMessage="1" promptTitle="จังหวะจ่าย (Timing)" prompt="เลือก ต้นงวด หรือ ปลายงวด" sqref="B10" xr:uid="{965410E1-B22D-42E1-93AF-B179F262FBAF}">
      <formula1>"ต้นงวด (In advance),ปลายงวด (In arrears)"</formula1>
    </dataValidation>
    <dataValidation type="decimal" allowBlank="1" showInputMessage="1" showErrorMessage="1" error="กรอกเป็น % ต่อปี เช่น 5%" promptTitle="IBR (% p.a.)" prompt="กรอกเป็น % ต่อปี เช่น 5%" sqref="B11" xr:uid="{1671009B-F362-440C-9EB6-23BB086BDCF9}">
      <formula1>0</formula1>
      <formula2>1</formula2>
    </dataValidation>
    <dataValidation type="decimal" allowBlank="1" showInputMessage="1" showErrorMessage="1" error="จำนวนเงิน ≥ 0" promptTitle="จำนวนเงิน (Amount)" prompt="จำนวนเงิน ≥ 0" sqref="B12" xr:uid="{E1C9A1DD-AC6C-4DCA-A8E0-D3508A6D8305}">
      <formula1>0</formula1>
      <formula2>1000000000000</formula2>
    </dataValidation>
    <dataValidation type="decimal" allowBlank="1" showInputMessage="1" showErrorMessage="1" error="จำนวนเงิน ≥ 0" promptTitle="จำนวนเงิน (Amount)" prompt="จำนวนเงิน ≥ 0" sqref="B13" xr:uid="{7F28F7E4-228D-4DDC-8B32-9DA6F642CB5F}">
      <formula1>0</formula1>
      <formula2>1000000000000</formula2>
    </dataValidation>
    <dataValidation type="decimal" allowBlank="1" showInputMessage="1" showErrorMessage="1" error="จำนวนเงิน ≥ 0" promptTitle="จำนวนเงิน (Amount)" prompt="จำนวนเงิน ≥ 0" sqref="B14" xr:uid="{A775C465-BB78-4B79-8218-77B8A3F2AA5E}">
      <formula1>0</formula1>
      <formula2>1000000000000</formula2>
    </dataValidation>
    <dataValidation type="decimal" allowBlank="1" showInputMessage="1" showErrorMessage="1" error="จำนวนเงิน ≥ 0" promptTitle="จำนวนเงิน (Amount)" prompt="จำนวนเงิน ≥ 0" sqref="B15" xr:uid="{74984F4E-01DA-4466-8466-94E0637B6EE1}">
      <formula1>0</formula1>
      <formula2>1000000000000</formula2>
    </dataValidation>
    <dataValidation type="decimal" allowBlank="1" showInputMessage="1" showErrorMessage="1" error="จำนวนเงิน ≥ 0" promptTitle="จำนวนเงิน (Amount)" prompt="จำนวนเงิน ≥ 0" sqref="B17" xr:uid="{6B16CD70-A623-4840-A773-80DB40CBB06C}">
      <formula1>0</formula1>
      <formula2>1000000000000</formula2>
    </dataValidation>
    <dataValidation type="decimal" allowBlank="1" showInputMessage="1" showErrorMessage="1" error="จำนวนเงิน ≥ 0" promptTitle="จำนวนเงิน (Amount)" prompt="จำนวนเงิน ≥ 0" sqref="B18" xr:uid="{9A8CA30D-FB8D-46FE-8E27-840237E5F232}">
      <formula1>0</formula1>
      <formula2>1000000000000</formula2>
    </dataValidation>
    <dataValidation type="list" allowBlank="1" showInputMessage="1" showErrorMessage="1" promptTitle="สิทธิเลือกซื้อ" prompt="เลือก ไม่มี / มี" sqref="B16" xr:uid="{0E75F417-730C-4C94-99DF-D7DD01C2A5DA}">
      <formula1>"ไม่มี (No),มี (Yes)"</formula1>
    </dataValidation>
  </dataValidations>
  <printOptions horizontalCentered="1"/>
  <pageMargins left="0.3888888888888889" right="0.3888888888888889" top="0.5" bottom="0.55555555555555558" header="0.3" footer="0.3"/>
  <pageSetup paperSize="9" scale="93" fitToHeight="0" orientation="landscape" verticalDpi="0" r:id="rId1"/>
  <headerFooter>
    <oddFooter>&amp;CMMN Syndicate · mmn-syndicate.vercel.app&amp;R&amp;P / &amp;N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ACD06-A7A2-437B-B355-6216A5D14D89}">
  <sheetPr>
    <pageSetUpPr fitToPage="1"/>
  </sheetPr>
  <dimension ref="A1:I127"/>
  <sheetViews>
    <sheetView zoomScale="90" zoomScaleNormal="9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B8" sqref="B8"/>
    </sheetView>
  </sheetViews>
  <sheetFormatPr defaultRowHeight="13.2" x14ac:dyDescent="0.25"/>
  <cols>
    <col min="1" max="1" width="9.77734375" customWidth="1"/>
    <col min="2" max="4" width="13.77734375" customWidth="1"/>
    <col min="5" max="5" width="20.77734375" customWidth="1"/>
    <col min="6" max="7" width="17.77734375" customWidth="1"/>
    <col min="8" max="8" width="20.77734375" customWidth="1"/>
    <col min="9" max="9" width="11.77734375" customWidth="1"/>
  </cols>
  <sheetData>
    <row r="1" spans="1:9" ht="30" customHeight="1" x14ac:dyDescent="0.25">
      <c r="A1" s="2" t="s">
        <v>68</v>
      </c>
      <c r="B1" s="2"/>
      <c r="C1" s="2"/>
      <c r="D1" s="2"/>
      <c r="E1" s="2"/>
      <c r="F1" s="2"/>
      <c r="G1" s="2"/>
      <c r="H1" s="2"/>
      <c r="I1" s="2"/>
    </row>
    <row r="2" spans="1:9" x14ac:dyDescent="0.25">
      <c r="A2" s="26" t="str">
        <f>"สัญญา: "&amp;in_Name&amp;"  |  เริ่ม "&amp;TEXT(in_Start,"dd/mm/yyyy")&amp;"  |  "&amp;in_Term&amp;" เดือน  |  "&amp;in_Timing&amp;"  |  อัตรารายเดือน "&amp;TEXT(c_Rate,"0.0000%")</f>
        <v>สัญญา: สัญญาเช่าสำนักงาน (ตัวอย่าง)  |  เริ่ม 01/01/2026  |  36 เดือน  |  ปลายงวด (In arrears)  |  อัตรารายเดือน 0.4167%</v>
      </c>
      <c r="B2" s="1"/>
      <c r="C2" s="1"/>
      <c r="D2" s="1"/>
      <c r="E2" s="1"/>
      <c r="F2" s="1"/>
      <c r="G2" s="1"/>
      <c r="H2" s="1"/>
      <c r="I2" s="1"/>
    </row>
    <row r="3" spans="1:9" x14ac:dyDescent="0.25">
      <c r="A3" s="27" t="s">
        <v>69</v>
      </c>
      <c r="B3" s="27"/>
      <c r="C3" s="27"/>
      <c r="D3" s="27"/>
      <c r="E3" s="28">
        <f>c_L0</f>
        <v>1668285.0641870452</v>
      </c>
      <c r="F3" s="29" t="s">
        <v>70</v>
      </c>
      <c r="G3" s="27"/>
      <c r="H3" s="28">
        <f>SUM(F8:F127)</f>
        <v>131714.93581296096</v>
      </c>
    </row>
    <row r="4" spans="1:9" x14ac:dyDescent="0.25">
      <c r="A4" s="27" t="s">
        <v>71</v>
      </c>
      <c r="B4" s="27"/>
      <c r="C4" s="27"/>
      <c r="D4" s="27"/>
      <c r="E4" s="28">
        <f>IFERROR(INDEX(H8:H127,MIN(in_Term,120)),0)</f>
        <v>6.3082552514970303E-9</v>
      </c>
      <c r="F4" s="29" t="s">
        <v>72</v>
      </c>
      <c r="G4" s="27"/>
      <c r="H4" s="28">
        <f>SUM(G8:G127)</f>
        <v>1800000</v>
      </c>
    </row>
    <row r="5" spans="1:9" x14ac:dyDescent="0.25">
      <c r="A5" s="27" t="s">
        <v>73</v>
      </c>
      <c r="B5" s="27"/>
      <c r="C5" s="27"/>
      <c r="D5" s="27"/>
      <c r="E5" s="30" t="str">
        <f>IF(ABS(E4)&lt;=0.01,"✔ OK","✘ ตรวจสอบ / check")</f>
        <v>✔ OK</v>
      </c>
      <c r="F5" s="29" t="s">
        <v>74</v>
      </c>
      <c r="G5" s="27"/>
      <c r="H5" s="30" t="str">
        <f>IF(ABS(H3-c_TotInt)&lt;=0.01,"✔ OK","✘ ตรวจสอบ / check")</f>
        <v>✔ OK</v>
      </c>
    </row>
    <row r="7" spans="1:9" ht="43.95" customHeight="1" x14ac:dyDescent="0.25">
      <c r="A7" s="5" t="s">
        <v>75</v>
      </c>
      <c r="B7" s="5" t="s">
        <v>76</v>
      </c>
      <c r="C7" s="5" t="s">
        <v>77</v>
      </c>
      <c r="D7" s="5" t="s">
        <v>78</v>
      </c>
      <c r="E7" s="5" t="s">
        <v>79</v>
      </c>
      <c r="F7" s="5" t="s">
        <v>80</v>
      </c>
      <c r="G7" s="5" t="s">
        <v>81</v>
      </c>
      <c r="H7" s="5" t="s">
        <v>82</v>
      </c>
      <c r="I7" s="5" t="s">
        <v>83</v>
      </c>
    </row>
    <row r="8" spans="1:9" x14ac:dyDescent="0.25">
      <c r="A8" s="31">
        <f>IF(in_Term&gt;=1,1,"")</f>
        <v>1</v>
      </c>
      <c r="B8" s="32">
        <f>IF($A8="","",EDATE(in_Start,$A8-1))</f>
        <v>46023</v>
      </c>
      <c r="C8" s="32">
        <f>IF($A8="","",EDATE(in_Start,$A8)-1)</f>
        <v>46053</v>
      </c>
      <c r="D8" s="32">
        <f>IF($A8="","",IF(c_Adv=1,B8,C8))</f>
        <v>46053</v>
      </c>
      <c r="E8" s="33">
        <f>IF($A8="","",c_L0)</f>
        <v>1668285.0641870452</v>
      </c>
      <c r="F8" s="33">
        <f>IF($A8="","",IF(c_Adv=1,(E8-G8)*c_Rate,E8*c_Rate))</f>
        <v>6951.187767446022</v>
      </c>
      <c r="G8" s="33">
        <f>IF($A8="","",IF(AND(c_Adv=1,$A8=1),0,in_Pmt))</f>
        <v>50000</v>
      </c>
      <c r="H8" s="33">
        <f t="shared" ref="H8:H39" si="0">IF($A8="","",E8+F8-G8)</f>
        <v>1625236.2519544913</v>
      </c>
      <c r="I8" s="31">
        <f t="shared" ref="I8:I39" si="1">IF($A8="","",INT(($A8-1)/12)+1)</f>
        <v>1</v>
      </c>
    </row>
    <row r="9" spans="1:9" x14ac:dyDescent="0.25">
      <c r="A9" s="31">
        <f>IF(A8="","",IF(A8+1&gt;in_Term,"",A8+1))</f>
        <v>2</v>
      </c>
      <c r="B9" s="32">
        <f>IF($A9="","",EDATE(in_Start,$A9-1))</f>
        <v>46054</v>
      </c>
      <c r="C9" s="32">
        <f>IF($A9="","",EDATE(in_Start,$A9)-1)</f>
        <v>46081</v>
      </c>
      <c r="D9" s="32">
        <f>IF($A9="","",IF(c_Adv=1,B9,C9))</f>
        <v>46081</v>
      </c>
      <c r="E9" s="33">
        <f t="shared" ref="E9:E40" si="2">IF($A9="","",H8)</f>
        <v>1625236.2519544913</v>
      </c>
      <c r="F9" s="33">
        <f>IF($A9="","",IF(c_Adv=1,(E9-G9)*c_Rate,E9*c_Rate))</f>
        <v>6771.8177164770468</v>
      </c>
      <c r="G9" s="33">
        <f>IF($A9="","",IF(AND(c_Adv=1,$A9=1),0,in_Pmt))</f>
        <v>50000</v>
      </c>
      <c r="H9" s="33">
        <f t="shared" si="0"/>
        <v>1582008.0696709682</v>
      </c>
      <c r="I9" s="31">
        <f t="shared" si="1"/>
        <v>1</v>
      </c>
    </row>
    <row r="10" spans="1:9" x14ac:dyDescent="0.25">
      <c r="A10" s="31">
        <f>IF(A9="","",IF(A9+1&gt;in_Term,"",A9+1))</f>
        <v>3</v>
      </c>
      <c r="B10" s="32">
        <f>IF($A10="","",EDATE(in_Start,$A10-1))</f>
        <v>46082</v>
      </c>
      <c r="C10" s="32">
        <f>IF($A10="","",EDATE(in_Start,$A10)-1)</f>
        <v>46112</v>
      </c>
      <c r="D10" s="32">
        <f>IF($A10="","",IF(c_Adv=1,B10,C10))</f>
        <v>46112</v>
      </c>
      <c r="E10" s="33">
        <f t="shared" si="2"/>
        <v>1582008.0696709682</v>
      </c>
      <c r="F10" s="33">
        <f>IF($A10="","",IF(c_Adv=1,(E10-G10)*c_Rate,E10*c_Rate))</f>
        <v>6591.7002902957011</v>
      </c>
      <c r="G10" s="33">
        <f>IF($A10="","",IF(AND(c_Adv=1,$A10=1),0,in_Pmt))</f>
        <v>50000</v>
      </c>
      <c r="H10" s="33">
        <f t="shared" si="0"/>
        <v>1538599.769961264</v>
      </c>
      <c r="I10" s="31">
        <f t="shared" si="1"/>
        <v>1</v>
      </c>
    </row>
    <row r="11" spans="1:9" x14ac:dyDescent="0.25">
      <c r="A11" s="31">
        <f>IF(A10="","",IF(A10+1&gt;in_Term,"",A10+1))</f>
        <v>4</v>
      </c>
      <c r="B11" s="32">
        <f>IF($A11="","",EDATE(in_Start,$A11-1))</f>
        <v>46113</v>
      </c>
      <c r="C11" s="32">
        <f>IF($A11="","",EDATE(in_Start,$A11)-1)</f>
        <v>46142</v>
      </c>
      <c r="D11" s="32">
        <f>IF($A11="","",IF(c_Adv=1,B11,C11))</f>
        <v>46142</v>
      </c>
      <c r="E11" s="33">
        <f t="shared" si="2"/>
        <v>1538599.769961264</v>
      </c>
      <c r="F11" s="33">
        <f>IF($A11="","",IF(c_Adv=1,(E11-G11)*c_Rate,E11*c_Rate))</f>
        <v>6410.8323748386001</v>
      </c>
      <c r="G11" s="33">
        <f>IF($A11="","",IF(AND(c_Adv=1,$A11=1),0,in_Pmt))</f>
        <v>50000</v>
      </c>
      <c r="H11" s="33">
        <f t="shared" si="0"/>
        <v>1495010.6023361026</v>
      </c>
      <c r="I11" s="31">
        <f t="shared" si="1"/>
        <v>1</v>
      </c>
    </row>
    <row r="12" spans="1:9" x14ac:dyDescent="0.25">
      <c r="A12" s="31">
        <f>IF(A11="","",IF(A11+1&gt;in_Term,"",A11+1))</f>
        <v>5</v>
      </c>
      <c r="B12" s="32">
        <f>IF($A12="","",EDATE(in_Start,$A12-1))</f>
        <v>46143</v>
      </c>
      <c r="C12" s="32">
        <f>IF($A12="","",EDATE(in_Start,$A12)-1)</f>
        <v>46173</v>
      </c>
      <c r="D12" s="32">
        <f>IF($A12="","",IF(c_Adv=1,B12,C12))</f>
        <v>46173</v>
      </c>
      <c r="E12" s="33">
        <f t="shared" si="2"/>
        <v>1495010.6023361026</v>
      </c>
      <c r="F12" s="33">
        <f>IF($A12="","",IF(c_Adv=1,(E12-G12)*c_Rate,E12*c_Rate))</f>
        <v>6229.2108430670942</v>
      </c>
      <c r="G12" s="33">
        <f>IF($A12="","",IF(AND(c_Adv=1,$A12=1),0,in_Pmt))</f>
        <v>50000</v>
      </c>
      <c r="H12" s="33">
        <f t="shared" si="0"/>
        <v>1451239.8131791698</v>
      </c>
      <c r="I12" s="31">
        <f t="shared" si="1"/>
        <v>1</v>
      </c>
    </row>
    <row r="13" spans="1:9" x14ac:dyDescent="0.25">
      <c r="A13" s="31">
        <f>IF(A12="","",IF(A12+1&gt;in_Term,"",A12+1))</f>
        <v>6</v>
      </c>
      <c r="B13" s="32">
        <f>IF($A13="","",EDATE(in_Start,$A13-1))</f>
        <v>46174</v>
      </c>
      <c r="C13" s="32">
        <f>IF($A13="","",EDATE(in_Start,$A13)-1)</f>
        <v>46203</v>
      </c>
      <c r="D13" s="32">
        <f>IF($A13="","",IF(c_Adv=1,B13,C13))</f>
        <v>46203</v>
      </c>
      <c r="E13" s="33">
        <f t="shared" si="2"/>
        <v>1451239.8131791698</v>
      </c>
      <c r="F13" s="33">
        <f>IF($A13="","",IF(c_Adv=1,(E13-G13)*c_Rate,E13*c_Rate))</f>
        <v>6046.8325549132078</v>
      </c>
      <c r="G13" s="33">
        <f>IF($A13="","",IF(AND(c_Adv=1,$A13=1),0,in_Pmt))</f>
        <v>50000</v>
      </c>
      <c r="H13" s="33">
        <f t="shared" si="0"/>
        <v>1407286.6457340829</v>
      </c>
      <c r="I13" s="31">
        <f t="shared" si="1"/>
        <v>1</v>
      </c>
    </row>
    <row r="14" spans="1:9" x14ac:dyDescent="0.25">
      <c r="A14" s="31">
        <f>IF(A13="","",IF(A13+1&gt;in_Term,"",A13+1))</f>
        <v>7</v>
      </c>
      <c r="B14" s="32">
        <f>IF($A14="","",EDATE(in_Start,$A14-1))</f>
        <v>46204</v>
      </c>
      <c r="C14" s="32">
        <f>IF($A14="","",EDATE(in_Start,$A14)-1)</f>
        <v>46234</v>
      </c>
      <c r="D14" s="32">
        <f>IF($A14="","",IF(c_Adv=1,B14,C14))</f>
        <v>46234</v>
      </c>
      <c r="E14" s="33">
        <f t="shared" si="2"/>
        <v>1407286.6457340829</v>
      </c>
      <c r="F14" s="33">
        <f>IF($A14="","",IF(c_Adv=1,(E14-G14)*c_Rate,E14*c_Rate))</f>
        <v>5863.6943572253458</v>
      </c>
      <c r="G14" s="33">
        <f>IF($A14="","",IF(AND(c_Adv=1,$A14=1),0,in_Pmt))</f>
        <v>50000</v>
      </c>
      <c r="H14" s="33">
        <f t="shared" si="0"/>
        <v>1363150.3400913083</v>
      </c>
      <c r="I14" s="31">
        <f t="shared" si="1"/>
        <v>1</v>
      </c>
    </row>
    <row r="15" spans="1:9" x14ac:dyDescent="0.25">
      <c r="A15" s="31">
        <f>IF(A14="","",IF(A14+1&gt;in_Term,"",A14+1))</f>
        <v>8</v>
      </c>
      <c r="B15" s="32">
        <f>IF($A15="","",EDATE(in_Start,$A15-1))</f>
        <v>46235</v>
      </c>
      <c r="C15" s="32">
        <f>IF($A15="","",EDATE(in_Start,$A15)-1)</f>
        <v>46265</v>
      </c>
      <c r="D15" s="32">
        <f>IF($A15="","",IF(c_Adv=1,B15,C15))</f>
        <v>46265</v>
      </c>
      <c r="E15" s="33">
        <f t="shared" si="2"/>
        <v>1363150.3400913083</v>
      </c>
      <c r="F15" s="33">
        <f>IF($A15="","",IF(c_Adv=1,(E15-G15)*c_Rate,E15*c_Rate))</f>
        <v>5679.7930837137847</v>
      </c>
      <c r="G15" s="33">
        <f>IF($A15="","",IF(AND(c_Adv=1,$A15=1),0,in_Pmt))</f>
        <v>50000</v>
      </c>
      <c r="H15" s="33">
        <f t="shared" si="0"/>
        <v>1318830.1331750222</v>
      </c>
      <c r="I15" s="31">
        <f t="shared" si="1"/>
        <v>1</v>
      </c>
    </row>
    <row r="16" spans="1:9" x14ac:dyDescent="0.25">
      <c r="A16" s="31">
        <f>IF(A15="","",IF(A15+1&gt;in_Term,"",A15+1))</f>
        <v>9</v>
      </c>
      <c r="B16" s="32">
        <f>IF($A16="","",EDATE(in_Start,$A16-1))</f>
        <v>46266</v>
      </c>
      <c r="C16" s="32">
        <f>IF($A16="","",EDATE(in_Start,$A16)-1)</f>
        <v>46295</v>
      </c>
      <c r="D16" s="32">
        <f>IF($A16="","",IF(c_Adv=1,B16,C16))</f>
        <v>46295</v>
      </c>
      <c r="E16" s="33">
        <f t="shared" si="2"/>
        <v>1318830.1331750222</v>
      </c>
      <c r="F16" s="33">
        <f>IF($A16="","",IF(c_Adv=1,(E16-G16)*c_Rate,E16*c_Rate))</f>
        <v>5495.1255548959261</v>
      </c>
      <c r="G16" s="33">
        <f>IF($A16="","",IF(AND(c_Adv=1,$A16=1),0,in_Pmt))</f>
        <v>50000</v>
      </c>
      <c r="H16" s="33">
        <f t="shared" si="0"/>
        <v>1274325.2587299182</v>
      </c>
      <c r="I16" s="31">
        <f t="shared" si="1"/>
        <v>1</v>
      </c>
    </row>
    <row r="17" spans="1:9" x14ac:dyDescent="0.25">
      <c r="A17" s="31">
        <f>IF(A16="","",IF(A16+1&gt;in_Term,"",A16+1))</f>
        <v>10</v>
      </c>
      <c r="B17" s="32">
        <f>IF($A17="","",EDATE(in_Start,$A17-1))</f>
        <v>46296</v>
      </c>
      <c r="C17" s="32">
        <f>IF($A17="","",EDATE(in_Start,$A17)-1)</f>
        <v>46326</v>
      </c>
      <c r="D17" s="32">
        <f>IF($A17="","",IF(c_Adv=1,B17,C17))</f>
        <v>46326</v>
      </c>
      <c r="E17" s="33">
        <f t="shared" si="2"/>
        <v>1274325.2587299182</v>
      </c>
      <c r="F17" s="33">
        <f>IF($A17="","",IF(c_Adv=1,(E17-G17)*c_Rate,E17*c_Rate))</f>
        <v>5309.6885780413259</v>
      </c>
      <c r="G17" s="33">
        <f>IF($A17="","",IF(AND(c_Adv=1,$A17=1),0,in_Pmt))</f>
        <v>50000</v>
      </c>
      <c r="H17" s="33">
        <f t="shared" si="0"/>
        <v>1229634.9473079594</v>
      </c>
      <c r="I17" s="31">
        <f t="shared" si="1"/>
        <v>1</v>
      </c>
    </row>
    <row r="18" spans="1:9" x14ac:dyDescent="0.25">
      <c r="A18" s="31">
        <f>IF(A17="","",IF(A17+1&gt;in_Term,"",A17+1))</f>
        <v>11</v>
      </c>
      <c r="B18" s="32">
        <f>IF($A18="","",EDATE(in_Start,$A18-1))</f>
        <v>46327</v>
      </c>
      <c r="C18" s="32">
        <f>IF($A18="","",EDATE(in_Start,$A18)-1)</f>
        <v>46356</v>
      </c>
      <c r="D18" s="32">
        <f>IF($A18="","",IF(c_Adv=1,B18,C18))</f>
        <v>46356</v>
      </c>
      <c r="E18" s="33">
        <f t="shared" si="2"/>
        <v>1229634.9473079594</v>
      </c>
      <c r="F18" s="33">
        <f>IF($A18="","",IF(c_Adv=1,(E18-G18)*c_Rate,E18*c_Rate))</f>
        <v>5123.4789471164977</v>
      </c>
      <c r="G18" s="33">
        <f>IF($A18="","",IF(AND(c_Adv=1,$A18=1),0,in_Pmt))</f>
        <v>50000</v>
      </c>
      <c r="H18" s="33">
        <f t="shared" si="0"/>
        <v>1184758.426255076</v>
      </c>
      <c r="I18" s="31">
        <f t="shared" si="1"/>
        <v>1</v>
      </c>
    </row>
    <row r="19" spans="1:9" x14ac:dyDescent="0.25">
      <c r="A19" s="31">
        <f>IF(A18="","",IF(A18+1&gt;in_Term,"",A18+1))</f>
        <v>12</v>
      </c>
      <c r="B19" s="32">
        <f>IF($A19="","",EDATE(in_Start,$A19-1))</f>
        <v>46357</v>
      </c>
      <c r="C19" s="32">
        <f>IF($A19="","",EDATE(in_Start,$A19)-1)</f>
        <v>46387</v>
      </c>
      <c r="D19" s="32">
        <f>IF($A19="","",IF(c_Adv=1,B19,C19))</f>
        <v>46387</v>
      </c>
      <c r="E19" s="33">
        <f t="shared" si="2"/>
        <v>1184758.426255076</v>
      </c>
      <c r="F19" s="33">
        <f>IF($A19="","",IF(c_Adv=1,(E19-G19)*c_Rate,E19*c_Rate))</f>
        <v>4936.4934427294829</v>
      </c>
      <c r="G19" s="33">
        <f>IF($A19="","",IF(AND(c_Adv=1,$A19=1),0,in_Pmt))</f>
        <v>50000</v>
      </c>
      <c r="H19" s="33">
        <f t="shared" si="0"/>
        <v>1139694.9196978055</v>
      </c>
      <c r="I19" s="31">
        <f t="shared" si="1"/>
        <v>1</v>
      </c>
    </row>
    <row r="20" spans="1:9" x14ac:dyDescent="0.25">
      <c r="A20" s="31">
        <f>IF(A19="","",IF(A19+1&gt;in_Term,"",A19+1))</f>
        <v>13</v>
      </c>
      <c r="B20" s="32">
        <f>IF($A20="","",EDATE(in_Start,$A20-1))</f>
        <v>46388</v>
      </c>
      <c r="C20" s="32">
        <f>IF($A20="","",EDATE(in_Start,$A20)-1)</f>
        <v>46418</v>
      </c>
      <c r="D20" s="32">
        <f>IF($A20="","",IF(c_Adv=1,B20,C20))</f>
        <v>46418</v>
      </c>
      <c r="E20" s="33">
        <f t="shared" si="2"/>
        <v>1139694.9196978055</v>
      </c>
      <c r="F20" s="33">
        <f>IF($A20="","",IF(c_Adv=1,(E20-G20)*c_Rate,E20*c_Rate))</f>
        <v>4748.72883207419</v>
      </c>
      <c r="G20" s="33">
        <f>IF($A20="","",IF(AND(c_Adv=1,$A20=1),0,in_Pmt))</f>
        <v>50000</v>
      </c>
      <c r="H20" s="33">
        <f t="shared" si="0"/>
        <v>1094443.6485298797</v>
      </c>
      <c r="I20" s="31">
        <f t="shared" si="1"/>
        <v>2</v>
      </c>
    </row>
    <row r="21" spans="1:9" x14ac:dyDescent="0.25">
      <c r="A21" s="31">
        <f>IF(A20="","",IF(A20+1&gt;in_Term,"",A20+1))</f>
        <v>14</v>
      </c>
      <c r="B21" s="32">
        <f>IF($A21="","",EDATE(in_Start,$A21-1))</f>
        <v>46419</v>
      </c>
      <c r="C21" s="32">
        <f>IF($A21="","",EDATE(in_Start,$A21)-1)</f>
        <v>46446</v>
      </c>
      <c r="D21" s="32">
        <f>IF($A21="","",IF(c_Adv=1,B21,C21))</f>
        <v>46446</v>
      </c>
      <c r="E21" s="33">
        <f t="shared" si="2"/>
        <v>1094443.6485298797</v>
      </c>
      <c r="F21" s="33">
        <f>IF($A21="","",IF(c_Adv=1,(E21-G21)*c_Rate,E21*c_Rate))</f>
        <v>4560.1818688744988</v>
      </c>
      <c r="G21" s="33">
        <f>IF($A21="","",IF(AND(c_Adv=1,$A21=1),0,in_Pmt))</f>
        <v>50000</v>
      </c>
      <c r="H21" s="33">
        <f t="shared" si="0"/>
        <v>1049003.8303987542</v>
      </c>
      <c r="I21" s="31">
        <f t="shared" si="1"/>
        <v>2</v>
      </c>
    </row>
    <row r="22" spans="1:9" x14ac:dyDescent="0.25">
      <c r="A22" s="31">
        <f>IF(A21="","",IF(A21+1&gt;in_Term,"",A21+1))</f>
        <v>15</v>
      </c>
      <c r="B22" s="32">
        <f>IF($A22="","",EDATE(in_Start,$A22-1))</f>
        <v>46447</v>
      </c>
      <c r="C22" s="32">
        <f>IF($A22="","",EDATE(in_Start,$A22)-1)</f>
        <v>46477</v>
      </c>
      <c r="D22" s="32">
        <f>IF($A22="","",IF(c_Adv=1,B22,C22))</f>
        <v>46477</v>
      </c>
      <c r="E22" s="33">
        <f t="shared" si="2"/>
        <v>1049003.8303987542</v>
      </c>
      <c r="F22" s="33">
        <f>IF($A22="","",IF(c_Adv=1,(E22-G22)*c_Rate,E22*c_Rate))</f>
        <v>4370.8492933281423</v>
      </c>
      <c r="G22" s="33">
        <f>IF($A22="","",IF(AND(c_Adv=1,$A22=1),0,in_Pmt))</f>
        <v>50000</v>
      </c>
      <c r="H22" s="33">
        <f t="shared" si="0"/>
        <v>1003374.6796920823</v>
      </c>
      <c r="I22" s="31">
        <f t="shared" si="1"/>
        <v>2</v>
      </c>
    </row>
    <row r="23" spans="1:9" x14ac:dyDescent="0.25">
      <c r="A23" s="31">
        <f>IF(A22="","",IF(A22+1&gt;in_Term,"",A22+1))</f>
        <v>16</v>
      </c>
      <c r="B23" s="32">
        <f>IF($A23="","",EDATE(in_Start,$A23-1))</f>
        <v>46478</v>
      </c>
      <c r="C23" s="32">
        <f>IF($A23="","",EDATE(in_Start,$A23)-1)</f>
        <v>46507</v>
      </c>
      <c r="D23" s="32">
        <f>IF($A23="","",IF(c_Adv=1,B23,C23))</f>
        <v>46507</v>
      </c>
      <c r="E23" s="33">
        <f t="shared" si="2"/>
        <v>1003374.6796920823</v>
      </c>
      <c r="F23" s="33">
        <f>IF($A23="","",IF(c_Adv=1,(E23-G23)*c_Rate,E23*c_Rate))</f>
        <v>4180.7278320503428</v>
      </c>
      <c r="G23" s="33">
        <f>IF($A23="","",IF(AND(c_Adv=1,$A23=1),0,in_Pmt))</f>
        <v>50000</v>
      </c>
      <c r="H23" s="33">
        <f t="shared" si="0"/>
        <v>957555.40752413264</v>
      </c>
      <c r="I23" s="31">
        <f t="shared" si="1"/>
        <v>2</v>
      </c>
    </row>
    <row r="24" spans="1:9" x14ac:dyDescent="0.25">
      <c r="A24" s="31">
        <f>IF(A23="","",IF(A23+1&gt;in_Term,"",A23+1))</f>
        <v>17</v>
      </c>
      <c r="B24" s="32">
        <f>IF($A24="","",EDATE(in_Start,$A24-1))</f>
        <v>46508</v>
      </c>
      <c r="C24" s="32">
        <f>IF($A24="","",EDATE(in_Start,$A24)-1)</f>
        <v>46538</v>
      </c>
      <c r="D24" s="32">
        <f>IF($A24="","",IF(c_Adv=1,B24,C24))</f>
        <v>46538</v>
      </c>
      <c r="E24" s="33">
        <f t="shared" si="2"/>
        <v>957555.40752413264</v>
      </c>
      <c r="F24" s="33">
        <f>IF($A24="","",IF(c_Adv=1,(E24-G24)*c_Rate,E24*c_Rate))</f>
        <v>3989.814198017219</v>
      </c>
      <c r="G24" s="33">
        <f>IF($A24="","",IF(AND(c_Adv=1,$A24=1),0,in_Pmt))</f>
        <v>50000</v>
      </c>
      <c r="H24" s="33">
        <f t="shared" si="0"/>
        <v>911545.22172214987</v>
      </c>
      <c r="I24" s="31">
        <f t="shared" si="1"/>
        <v>2</v>
      </c>
    </row>
    <row r="25" spans="1:9" x14ac:dyDescent="0.25">
      <c r="A25" s="31">
        <f>IF(A24="","",IF(A24+1&gt;in_Term,"",A24+1))</f>
        <v>18</v>
      </c>
      <c r="B25" s="32">
        <f>IF($A25="","",EDATE(in_Start,$A25-1))</f>
        <v>46539</v>
      </c>
      <c r="C25" s="32">
        <f>IF($A25="","",EDATE(in_Start,$A25)-1)</f>
        <v>46568</v>
      </c>
      <c r="D25" s="32">
        <f>IF($A25="","",IF(c_Adv=1,B25,C25))</f>
        <v>46568</v>
      </c>
      <c r="E25" s="33">
        <f t="shared" si="2"/>
        <v>911545.22172214987</v>
      </c>
      <c r="F25" s="33">
        <f>IF($A25="","",IF(c_Adv=1,(E25-G25)*c_Rate,E25*c_Rate))</f>
        <v>3798.1050905089578</v>
      </c>
      <c r="G25" s="33">
        <f>IF($A25="","",IF(AND(c_Adv=1,$A25=1),0,in_Pmt))</f>
        <v>50000</v>
      </c>
      <c r="H25" s="33">
        <f t="shared" si="0"/>
        <v>865343.32681265881</v>
      </c>
      <c r="I25" s="31">
        <f t="shared" si="1"/>
        <v>2</v>
      </c>
    </row>
    <row r="26" spans="1:9" x14ac:dyDescent="0.25">
      <c r="A26" s="31">
        <f>IF(A25="","",IF(A25+1&gt;in_Term,"",A25+1))</f>
        <v>19</v>
      </c>
      <c r="B26" s="32">
        <f>IF($A26="","",EDATE(in_Start,$A26-1))</f>
        <v>46569</v>
      </c>
      <c r="C26" s="32">
        <f>IF($A26="","",EDATE(in_Start,$A26)-1)</f>
        <v>46599</v>
      </c>
      <c r="D26" s="32">
        <f>IF($A26="","",IF(c_Adv=1,B26,C26))</f>
        <v>46599</v>
      </c>
      <c r="E26" s="33">
        <f t="shared" si="2"/>
        <v>865343.32681265881</v>
      </c>
      <c r="F26" s="33">
        <f>IF($A26="","",IF(c_Adv=1,(E26-G26)*c_Rate,E26*c_Rate))</f>
        <v>3605.5971950527451</v>
      </c>
      <c r="G26" s="33">
        <f>IF($A26="","",IF(AND(c_Adv=1,$A26=1),0,in_Pmt))</f>
        <v>50000</v>
      </c>
      <c r="H26" s="33">
        <f t="shared" si="0"/>
        <v>818948.92400771158</v>
      </c>
      <c r="I26" s="31">
        <f t="shared" si="1"/>
        <v>2</v>
      </c>
    </row>
    <row r="27" spans="1:9" x14ac:dyDescent="0.25">
      <c r="A27" s="31">
        <f>IF(A26="","",IF(A26+1&gt;in_Term,"",A26+1))</f>
        <v>20</v>
      </c>
      <c r="B27" s="32">
        <f>IF($A27="","",EDATE(in_Start,$A27-1))</f>
        <v>46600</v>
      </c>
      <c r="C27" s="32">
        <f>IF($A27="","",EDATE(in_Start,$A27)-1)</f>
        <v>46630</v>
      </c>
      <c r="D27" s="32">
        <f>IF($A27="","",IF(c_Adv=1,B27,C27))</f>
        <v>46630</v>
      </c>
      <c r="E27" s="33">
        <f t="shared" si="2"/>
        <v>818948.92400771158</v>
      </c>
      <c r="F27" s="33">
        <f>IF($A27="","",IF(c_Adv=1,(E27-G27)*c_Rate,E27*c_Rate))</f>
        <v>3412.2871833654649</v>
      </c>
      <c r="G27" s="33">
        <f>IF($A27="","",IF(AND(c_Adv=1,$A27=1),0,in_Pmt))</f>
        <v>50000</v>
      </c>
      <c r="H27" s="33">
        <f t="shared" si="0"/>
        <v>772361.21119107702</v>
      </c>
      <c r="I27" s="31">
        <f t="shared" si="1"/>
        <v>2</v>
      </c>
    </row>
    <row r="28" spans="1:9" x14ac:dyDescent="0.25">
      <c r="A28" s="31">
        <f>IF(A27="","",IF(A27+1&gt;in_Term,"",A27+1))</f>
        <v>21</v>
      </c>
      <c r="B28" s="32">
        <f>IF($A28="","",EDATE(in_Start,$A28-1))</f>
        <v>46631</v>
      </c>
      <c r="C28" s="32">
        <f>IF($A28="","",EDATE(in_Start,$A28)-1)</f>
        <v>46660</v>
      </c>
      <c r="D28" s="32">
        <f>IF($A28="","",IF(c_Adv=1,B28,C28))</f>
        <v>46660</v>
      </c>
      <c r="E28" s="33">
        <f t="shared" si="2"/>
        <v>772361.21119107702</v>
      </c>
      <c r="F28" s="33">
        <f>IF($A28="","",IF(c_Adv=1,(E28-G28)*c_Rate,E28*c_Rate))</f>
        <v>3218.1717132961544</v>
      </c>
      <c r="G28" s="33">
        <f>IF($A28="","",IF(AND(c_Adv=1,$A28=1),0,in_Pmt))</f>
        <v>50000</v>
      </c>
      <c r="H28" s="33">
        <f t="shared" si="0"/>
        <v>725579.38290437323</v>
      </c>
      <c r="I28" s="31">
        <f t="shared" si="1"/>
        <v>2</v>
      </c>
    </row>
    <row r="29" spans="1:9" x14ac:dyDescent="0.25">
      <c r="A29" s="31">
        <f>IF(A28="","",IF(A28+1&gt;in_Term,"",A28+1))</f>
        <v>22</v>
      </c>
      <c r="B29" s="32">
        <f>IF($A29="","",EDATE(in_Start,$A29-1))</f>
        <v>46661</v>
      </c>
      <c r="C29" s="32">
        <f>IF($A29="","",EDATE(in_Start,$A29)-1)</f>
        <v>46691</v>
      </c>
      <c r="D29" s="32">
        <f>IF($A29="","",IF(c_Adv=1,B29,C29))</f>
        <v>46691</v>
      </c>
      <c r="E29" s="33">
        <f t="shared" si="2"/>
        <v>725579.38290437323</v>
      </c>
      <c r="F29" s="33">
        <f>IF($A29="","",IF(c_Adv=1,(E29-G29)*c_Rate,E29*c_Rate))</f>
        <v>3023.2474287682217</v>
      </c>
      <c r="G29" s="33">
        <f>IF($A29="","",IF(AND(c_Adv=1,$A29=1),0,in_Pmt))</f>
        <v>50000</v>
      </c>
      <c r="H29" s="33">
        <f t="shared" si="0"/>
        <v>678602.63033314142</v>
      </c>
      <c r="I29" s="31">
        <f t="shared" si="1"/>
        <v>2</v>
      </c>
    </row>
    <row r="30" spans="1:9" x14ac:dyDescent="0.25">
      <c r="A30" s="31">
        <f>IF(A29="","",IF(A29+1&gt;in_Term,"",A29+1))</f>
        <v>23</v>
      </c>
      <c r="B30" s="32">
        <f>IF($A30="","",EDATE(in_Start,$A30-1))</f>
        <v>46692</v>
      </c>
      <c r="C30" s="32">
        <f>IF($A30="","",EDATE(in_Start,$A30)-1)</f>
        <v>46721</v>
      </c>
      <c r="D30" s="32">
        <f>IF($A30="","",IF(c_Adv=1,B30,C30))</f>
        <v>46721</v>
      </c>
      <c r="E30" s="33">
        <f t="shared" si="2"/>
        <v>678602.63033314142</v>
      </c>
      <c r="F30" s="33">
        <f>IF($A30="","",IF(c_Adv=1,(E30-G30)*c_Rate,E30*c_Rate))</f>
        <v>2827.5109597214228</v>
      </c>
      <c r="G30" s="33">
        <f>IF($A30="","",IF(AND(c_Adv=1,$A30=1),0,in_Pmt))</f>
        <v>50000</v>
      </c>
      <c r="H30" s="33">
        <f t="shared" si="0"/>
        <v>631430.14129286283</v>
      </c>
      <c r="I30" s="31">
        <f t="shared" si="1"/>
        <v>2</v>
      </c>
    </row>
    <row r="31" spans="1:9" x14ac:dyDescent="0.25">
      <c r="A31" s="31">
        <f>IF(A30="","",IF(A30+1&gt;in_Term,"",A30+1))</f>
        <v>24</v>
      </c>
      <c r="B31" s="32">
        <f>IF($A31="","",EDATE(in_Start,$A31-1))</f>
        <v>46722</v>
      </c>
      <c r="C31" s="32">
        <f>IF($A31="","",EDATE(in_Start,$A31)-1)</f>
        <v>46752</v>
      </c>
      <c r="D31" s="32">
        <f>IF($A31="","",IF(c_Adv=1,B31,C31))</f>
        <v>46752</v>
      </c>
      <c r="E31" s="33">
        <f t="shared" si="2"/>
        <v>631430.14129286283</v>
      </c>
      <c r="F31" s="33">
        <f>IF($A31="","",IF(c_Adv=1,(E31-G31)*c_Rate,E31*c_Rate))</f>
        <v>2630.958922053595</v>
      </c>
      <c r="G31" s="33">
        <f>IF($A31="","",IF(AND(c_Adv=1,$A31=1),0,in_Pmt))</f>
        <v>50000</v>
      </c>
      <c r="H31" s="33">
        <f t="shared" si="0"/>
        <v>584061.1002149164</v>
      </c>
      <c r="I31" s="31">
        <f t="shared" si="1"/>
        <v>2</v>
      </c>
    </row>
    <row r="32" spans="1:9" x14ac:dyDescent="0.25">
      <c r="A32" s="31">
        <f>IF(A31="","",IF(A31+1&gt;in_Term,"",A31+1))</f>
        <v>25</v>
      </c>
      <c r="B32" s="32">
        <f>IF($A32="","",EDATE(in_Start,$A32-1))</f>
        <v>46753</v>
      </c>
      <c r="C32" s="32">
        <f>IF($A32="","",EDATE(in_Start,$A32)-1)</f>
        <v>46783</v>
      </c>
      <c r="D32" s="32">
        <f>IF($A32="","",IF(c_Adv=1,B32,C32))</f>
        <v>46783</v>
      </c>
      <c r="E32" s="33">
        <f t="shared" si="2"/>
        <v>584061.1002149164</v>
      </c>
      <c r="F32" s="33">
        <f>IF($A32="","",IF(c_Adv=1,(E32-G32)*c_Rate,E32*c_Rate))</f>
        <v>2433.5879175621517</v>
      </c>
      <c r="G32" s="33">
        <f>IF($A32="","",IF(AND(c_Adv=1,$A32=1),0,in_Pmt))</f>
        <v>50000</v>
      </c>
      <c r="H32" s="33">
        <f t="shared" si="0"/>
        <v>536494.68813247851</v>
      </c>
      <c r="I32" s="31">
        <f t="shared" si="1"/>
        <v>3</v>
      </c>
    </row>
    <row r="33" spans="1:9" x14ac:dyDescent="0.25">
      <c r="A33" s="31">
        <f>IF(A32="","",IF(A32+1&gt;in_Term,"",A32+1))</f>
        <v>26</v>
      </c>
      <c r="B33" s="32">
        <f>IF($A33="","",EDATE(in_Start,$A33-1))</f>
        <v>46784</v>
      </c>
      <c r="C33" s="32">
        <f>IF($A33="","",EDATE(in_Start,$A33)-1)</f>
        <v>46812</v>
      </c>
      <c r="D33" s="32">
        <f>IF($A33="","",IF(c_Adv=1,B33,C33))</f>
        <v>46812</v>
      </c>
      <c r="E33" s="33">
        <f t="shared" si="2"/>
        <v>536494.68813247851</v>
      </c>
      <c r="F33" s="33">
        <f>IF($A33="","",IF(c_Adv=1,(E33-G33)*c_Rate,E33*c_Rate))</f>
        <v>2235.3945338853273</v>
      </c>
      <c r="G33" s="33">
        <f>IF($A33="","",IF(AND(c_Adv=1,$A33=1),0,in_Pmt))</f>
        <v>50000</v>
      </c>
      <c r="H33" s="33">
        <f t="shared" si="0"/>
        <v>488730.0826663638</v>
      </c>
      <c r="I33" s="31">
        <f t="shared" si="1"/>
        <v>3</v>
      </c>
    </row>
    <row r="34" spans="1:9" x14ac:dyDescent="0.25">
      <c r="A34" s="31">
        <f>IF(A33="","",IF(A33+1&gt;in_Term,"",A33+1))</f>
        <v>27</v>
      </c>
      <c r="B34" s="32">
        <f>IF($A34="","",EDATE(in_Start,$A34-1))</f>
        <v>46813</v>
      </c>
      <c r="C34" s="32">
        <f>IF($A34="","",EDATE(in_Start,$A34)-1)</f>
        <v>46843</v>
      </c>
      <c r="D34" s="32">
        <f>IF($A34="","",IF(c_Adv=1,B34,C34))</f>
        <v>46843</v>
      </c>
      <c r="E34" s="33">
        <f t="shared" si="2"/>
        <v>488730.0826663638</v>
      </c>
      <c r="F34" s="33">
        <f>IF($A34="","",IF(c_Adv=1,(E34-G34)*c_Rate,E34*c_Rate))</f>
        <v>2036.3753444431825</v>
      </c>
      <c r="G34" s="33">
        <f>IF($A34="","",IF(AND(c_Adv=1,$A34=1),0,in_Pmt))</f>
        <v>50000</v>
      </c>
      <c r="H34" s="33">
        <f t="shared" si="0"/>
        <v>440766.45801080699</v>
      </c>
      <c r="I34" s="31">
        <f t="shared" si="1"/>
        <v>3</v>
      </c>
    </row>
    <row r="35" spans="1:9" x14ac:dyDescent="0.25">
      <c r="A35" s="31">
        <f>IF(A34="","",IF(A34+1&gt;in_Term,"",A34+1))</f>
        <v>28</v>
      </c>
      <c r="B35" s="32">
        <f>IF($A35="","",EDATE(in_Start,$A35-1))</f>
        <v>46844</v>
      </c>
      <c r="C35" s="32">
        <f>IF($A35="","",EDATE(in_Start,$A35)-1)</f>
        <v>46873</v>
      </c>
      <c r="D35" s="32">
        <f>IF($A35="","",IF(c_Adv=1,B35,C35))</f>
        <v>46873</v>
      </c>
      <c r="E35" s="33">
        <f t="shared" si="2"/>
        <v>440766.45801080699</v>
      </c>
      <c r="F35" s="33">
        <f>IF($A35="","",IF(c_Adv=1,(E35-G35)*c_Rate,E35*c_Rate))</f>
        <v>1836.5269083783624</v>
      </c>
      <c r="G35" s="33">
        <f>IF($A35="","",IF(AND(c_Adv=1,$A35=1),0,in_Pmt))</f>
        <v>50000</v>
      </c>
      <c r="H35" s="33">
        <f t="shared" si="0"/>
        <v>392602.98491918534</v>
      </c>
      <c r="I35" s="31">
        <f t="shared" si="1"/>
        <v>3</v>
      </c>
    </row>
    <row r="36" spans="1:9" x14ac:dyDescent="0.25">
      <c r="A36" s="31">
        <f>IF(A35="","",IF(A35+1&gt;in_Term,"",A35+1))</f>
        <v>29</v>
      </c>
      <c r="B36" s="32">
        <f>IF($A36="","",EDATE(in_Start,$A36-1))</f>
        <v>46874</v>
      </c>
      <c r="C36" s="32">
        <f>IF($A36="","",EDATE(in_Start,$A36)-1)</f>
        <v>46904</v>
      </c>
      <c r="D36" s="32">
        <f>IF($A36="","",IF(c_Adv=1,B36,C36))</f>
        <v>46904</v>
      </c>
      <c r="E36" s="33">
        <f t="shared" si="2"/>
        <v>392602.98491918534</v>
      </c>
      <c r="F36" s="33">
        <f>IF($A36="","",IF(c_Adv=1,(E36-G36)*c_Rate,E36*c_Rate))</f>
        <v>1635.8457704966056</v>
      </c>
      <c r="G36" s="33">
        <f>IF($A36="","",IF(AND(c_Adv=1,$A36=1),0,in_Pmt))</f>
        <v>50000</v>
      </c>
      <c r="H36" s="33">
        <f t="shared" si="0"/>
        <v>344238.83068968193</v>
      </c>
      <c r="I36" s="31">
        <f t="shared" si="1"/>
        <v>3</v>
      </c>
    </row>
    <row r="37" spans="1:9" x14ac:dyDescent="0.25">
      <c r="A37" s="31">
        <f>IF(A36="","",IF(A36+1&gt;in_Term,"",A36+1))</f>
        <v>30</v>
      </c>
      <c r="B37" s="32">
        <f>IF($A37="","",EDATE(in_Start,$A37-1))</f>
        <v>46905</v>
      </c>
      <c r="C37" s="32">
        <f>IF($A37="","",EDATE(in_Start,$A37)-1)</f>
        <v>46934</v>
      </c>
      <c r="D37" s="32">
        <f>IF($A37="","",IF(c_Adv=1,B37,C37))</f>
        <v>46934</v>
      </c>
      <c r="E37" s="33">
        <f t="shared" si="2"/>
        <v>344238.83068968193</v>
      </c>
      <c r="F37" s="33">
        <f>IF($A37="","",IF(c_Adv=1,(E37-G37)*c_Rate,E37*c_Rate))</f>
        <v>1434.3284612070081</v>
      </c>
      <c r="G37" s="33">
        <f>IF($A37="","",IF(AND(c_Adv=1,$A37=1),0,in_Pmt))</f>
        <v>50000</v>
      </c>
      <c r="H37" s="33">
        <f t="shared" si="0"/>
        <v>295673.15915088891</v>
      </c>
      <c r="I37" s="31">
        <f t="shared" si="1"/>
        <v>3</v>
      </c>
    </row>
    <row r="38" spans="1:9" x14ac:dyDescent="0.25">
      <c r="A38" s="31">
        <f>IF(A37="","",IF(A37+1&gt;in_Term,"",A37+1))</f>
        <v>31</v>
      </c>
      <c r="B38" s="32">
        <f>IF($A38="","",EDATE(in_Start,$A38-1))</f>
        <v>46935</v>
      </c>
      <c r="C38" s="32">
        <f>IF($A38="","",EDATE(in_Start,$A38)-1)</f>
        <v>46965</v>
      </c>
      <c r="D38" s="32">
        <f>IF($A38="","",IF(c_Adv=1,B38,C38))</f>
        <v>46965</v>
      </c>
      <c r="E38" s="33">
        <f t="shared" si="2"/>
        <v>295673.15915088891</v>
      </c>
      <c r="F38" s="33">
        <f>IF($A38="","",IF(c_Adv=1,(E38-G38)*c_Rate,E38*c_Rate))</f>
        <v>1231.9714964620371</v>
      </c>
      <c r="G38" s="33">
        <f>IF($A38="","",IF(AND(c_Adv=1,$A38=1),0,in_Pmt))</f>
        <v>50000</v>
      </c>
      <c r="H38" s="33">
        <f t="shared" si="0"/>
        <v>246905.13064735098</v>
      </c>
      <c r="I38" s="31">
        <f t="shared" si="1"/>
        <v>3</v>
      </c>
    </row>
    <row r="39" spans="1:9" x14ac:dyDescent="0.25">
      <c r="A39" s="31">
        <f>IF(A38="","",IF(A38+1&gt;in_Term,"",A38+1))</f>
        <v>32</v>
      </c>
      <c r="B39" s="32">
        <f>IF($A39="","",EDATE(in_Start,$A39-1))</f>
        <v>46966</v>
      </c>
      <c r="C39" s="32">
        <f>IF($A39="","",EDATE(in_Start,$A39)-1)</f>
        <v>46996</v>
      </c>
      <c r="D39" s="32">
        <f>IF($A39="","",IF(c_Adv=1,B39,C39))</f>
        <v>46996</v>
      </c>
      <c r="E39" s="33">
        <f t="shared" si="2"/>
        <v>246905.13064735098</v>
      </c>
      <c r="F39" s="33">
        <f>IF($A39="","",IF(c_Adv=1,(E39-G39)*c_Rate,E39*c_Rate))</f>
        <v>1028.7713776972957</v>
      </c>
      <c r="G39" s="33">
        <f>IF($A39="","",IF(AND(c_Adv=1,$A39=1),0,in_Pmt))</f>
        <v>50000</v>
      </c>
      <c r="H39" s="33">
        <f t="shared" si="0"/>
        <v>197933.90202504827</v>
      </c>
      <c r="I39" s="31">
        <f t="shared" si="1"/>
        <v>3</v>
      </c>
    </row>
    <row r="40" spans="1:9" x14ac:dyDescent="0.25">
      <c r="A40" s="31">
        <f>IF(A39="","",IF(A39+1&gt;in_Term,"",A39+1))</f>
        <v>33</v>
      </c>
      <c r="B40" s="32">
        <f>IF($A40="","",EDATE(in_Start,$A40-1))</f>
        <v>46997</v>
      </c>
      <c r="C40" s="32">
        <f>IF($A40="","",EDATE(in_Start,$A40)-1)</f>
        <v>47026</v>
      </c>
      <c r="D40" s="32">
        <f>IF($A40="","",IF(c_Adv=1,B40,C40))</f>
        <v>47026</v>
      </c>
      <c r="E40" s="33">
        <f t="shared" si="2"/>
        <v>197933.90202504827</v>
      </c>
      <c r="F40" s="33">
        <f>IF($A40="","",IF(c_Adv=1,(E40-G40)*c_Rate,E40*c_Rate))</f>
        <v>824.7245917710344</v>
      </c>
      <c r="G40" s="33">
        <f>IF($A40="","",IF(AND(c_Adv=1,$A40=1),0,in_Pmt))</f>
        <v>50000</v>
      </c>
      <c r="H40" s="33">
        <f t="shared" ref="H40:H71" si="3">IF($A40="","",E40+F40-G40)</f>
        <v>148758.6266168193</v>
      </c>
      <c r="I40" s="31">
        <f t="shared" ref="I40:I71" si="4">IF($A40="","",INT(($A40-1)/12)+1)</f>
        <v>3</v>
      </c>
    </row>
    <row r="41" spans="1:9" x14ac:dyDescent="0.25">
      <c r="A41" s="31">
        <f>IF(A40="","",IF(A40+1&gt;in_Term,"",A40+1))</f>
        <v>34</v>
      </c>
      <c r="B41" s="32">
        <f>IF($A41="","",EDATE(in_Start,$A41-1))</f>
        <v>47027</v>
      </c>
      <c r="C41" s="32">
        <f>IF($A41="","",EDATE(in_Start,$A41)-1)</f>
        <v>47057</v>
      </c>
      <c r="D41" s="32">
        <f>IF($A41="","",IF(c_Adv=1,B41,C41))</f>
        <v>47057</v>
      </c>
      <c r="E41" s="33">
        <f t="shared" ref="E41:E72" si="5">IF($A41="","",H40)</f>
        <v>148758.6266168193</v>
      </c>
      <c r="F41" s="33">
        <f>IF($A41="","",IF(c_Adv=1,(E41-G41)*c_Rate,E41*c_Rate))</f>
        <v>619.82761090341376</v>
      </c>
      <c r="G41" s="33">
        <f>IF($A41="","",IF(AND(c_Adv=1,$A41=1),0,in_Pmt))</f>
        <v>50000</v>
      </c>
      <c r="H41" s="33">
        <f t="shared" si="3"/>
        <v>99378.454227722716</v>
      </c>
      <c r="I41" s="31">
        <f t="shared" si="4"/>
        <v>3</v>
      </c>
    </row>
    <row r="42" spans="1:9" x14ac:dyDescent="0.25">
      <c r="A42" s="31">
        <f>IF(A41="","",IF(A41+1&gt;in_Term,"",A41+1))</f>
        <v>35</v>
      </c>
      <c r="B42" s="32">
        <f>IF($A42="","",EDATE(in_Start,$A42-1))</f>
        <v>47058</v>
      </c>
      <c r="C42" s="32">
        <f>IF($A42="","",EDATE(in_Start,$A42)-1)</f>
        <v>47087</v>
      </c>
      <c r="D42" s="32">
        <f>IF($A42="","",IF(c_Adv=1,B42,C42))</f>
        <v>47087</v>
      </c>
      <c r="E42" s="33">
        <f t="shared" si="5"/>
        <v>99378.454227722716</v>
      </c>
      <c r="F42" s="33">
        <f>IF($A42="","",IF(c_Adv=1,(E42-G42)*c_Rate,E42*c_Rate))</f>
        <v>414.07689261551133</v>
      </c>
      <c r="G42" s="33">
        <f>IF($A42="","",IF(AND(c_Adv=1,$A42=1),0,in_Pmt))</f>
        <v>50000</v>
      </c>
      <c r="H42" s="33">
        <f t="shared" si="3"/>
        <v>49792.53112033823</v>
      </c>
      <c r="I42" s="31">
        <f t="shared" si="4"/>
        <v>3</v>
      </c>
    </row>
    <row r="43" spans="1:9" x14ac:dyDescent="0.25">
      <c r="A43" s="31">
        <f>IF(A42="","",IF(A42+1&gt;in_Term,"",A42+1))</f>
        <v>36</v>
      </c>
      <c r="B43" s="32">
        <f>IF($A43="","",EDATE(in_Start,$A43-1))</f>
        <v>47088</v>
      </c>
      <c r="C43" s="32">
        <f>IF($A43="","",EDATE(in_Start,$A43)-1)</f>
        <v>47118</v>
      </c>
      <c r="D43" s="32">
        <f>IF($A43="","",IF(c_Adv=1,B43,C43))</f>
        <v>47118</v>
      </c>
      <c r="E43" s="33">
        <f t="shared" si="5"/>
        <v>49792.53112033823</v>
      </c>
      <c r="F43" s="33">
        <f>IF($A43="","",IF(c_Adv=1,(E43-G43)*c_Rate,E43*c_Rate))</f>
        <v>207.46887966807594</v>
      </c>
      <c r="G43" s="33">
        <f>IF($A43="","",IF(AND(c_Adv=1,$A43=1),0,in_Pmt))</f>
        <v>50000</v>
      </c>
      <c r="H43" s="33">
        <f t="shared" si="3"/>
        <v>6.3082552514970303E-9</v>
      </c>
      <c r="I43" s="31">
        <f t="shared" si="4"/>
        <v>3</v>
      </c>
    </row>
    <row r="44" spans="1:9" x14ac:dyDescent="0.25">
      <c r="A44" s="31" t="str">
        <f>IF(A43="","",IF(A43+1&gt;in_Term,"",A43+1))</f>
        <v/>
      </c>
      <c r="B44" s="32" t="str">
        <f>IF($A44="","",EDATE(in_Start,$A44-1))</f>
        <v/>
      </c>
      <c r="C44" s="32" t="str">
        <f>IF($A44="","",EDATE(in_Start,$A44)-1)</f>
        <v/>
      </c>
      <c r="D44" s="32" t="str">
        <f>IF($A44="","",IF(c_Adv=1,B44,C44))</f>
        <v/>
      </c>
      <c r="E44" s="33" t="str">
        <f t="shared" si="5"/>
        <v/>
      </c>
      <c r="F44" s="33" t="str">
        <f>IF($A44="","",IF(c_Adv=1,(E44-G44)*c_Rate,E44*c_Rate))</f>
        <v/>
      </c>
      <c r="G44" s="33" t="str">
        <f>IF($A44="","",IF(AND(c_Adv=1,$A44=1),0,in_Pmt))</f>
        <v/>
      </c>
      <c r="H44" s="33" t="str">
        <f t="shared" si="3"/>
        <v/>
      </c>
      <c r="I44" s="31" t="str">
        <f t="shared" si="4"/>
        <v/>
      </c>
    </row>
    <row r="45" spans="1:9" x14ac:dyDescent="0.25">
      <c r="A45" s="31" t="str">
        <f>IF(A44="","",IF(A44+1&gt;in_Term,"",A44+1))</f>
        <v/>
      </c>
      <c r="B45" s="32" t="str">
        <f>IF($A45="","",EDATE(in_Start,$A45-1))</f>
        <v/>
      </c>
      <c r="C45" s="32" t="str">
        <f>IF($A45="","",EDATE(in_Start,$A45)-1)</f>
        <v/>
      </c>
      <c r="D45" s="32" t="str">
        <f>IF($A45="","",IF(c_Adv=1,B45,C45))</f>
        <v/>
      </c>
      <c r="E45" s="33" t="str">
        <f t="shared" si="5"/>
        <v/>
      </c>
      <c r="F45" s="33" t="str">
        <f>IF($A45="","",IF(c_Adv=1,(E45-G45)*c_Rate,E45*c_Rate))</f>
        <v/>
      </c>
      <c r="G45" s="33" t="str">
        <f>IF($A45="","",IF(AND(c_Adv=1,$A45=1),0,in_Pmt))</f>
        <v/>
      </c>
      <c r="H45" s="33" t="str">
        <f t="shared" si="3"/>
        <v/>
      </c>
      <c r="I45" s="31" t="str">
        <f t="shared" si="4"/>
        <v/>
      </c>
    </row>
    <row r="46" spans="1:9" x14ac:dyDescent="0.25">
      <c r="A46" s="31" t="str">
        <f>IF(A45="","",IF(A45+1&gt;in_Term,"",A45+1))</f>
        <v/>
      </c>
      <c r="B46" s="32" t="str">
        <f>IF($A46="","",EDATE(in_Start,$A46-1))</f>
        <v/>
      </c>
      <c r="C46" s="32" t="str">
        <f>IF($A46="","",EDATE(in_Start,$A46)-1)</f>
        <v/>
      </c>
      <c r="D46" s="32" t="str">
        <f>IF($A46="","",IF(c_Adv=1,B46,C46))</f>
        <v/>
      </c>
      <c r="E46" s="33" t="str">
        <f t="shared" si="5"/>
        <v/>
      </c>
      <c r="F46" s="33" t="str">
        <f>IF($A46="","",IF(c_Adv=1,(E46-G46)*c_Rate,E46*c_Rate))</f>
        <v/>
      </c>
      <c r="G46" s="33" t="str">
        <f>IF($A46="","",IF(AND(c_Adv=1,$A46=1),0,in_Pmt))</f>
        <v/>
      </c>
      <c r="H46" s="33" t="str">
        <f t="shared" si="3"/>
        <v/>
      </c>
      <c r="I46" s="31" t="str">
        <f t="shared" si="4"/>
        <v/>
      </c>
    </row>
    <row r="47" spans="1:9" x14ac:dyDescent="0.25">
      <c r="A47" s="31" t="str">
        <f>IF(A46="","",IF(A46+1&gt;in_Term,"",A46+1))</f>
        <v/>
      </c>
      <c r="B47" s="32" t="str">
        <f>IF($A47="","",EDATE(in_Start,$A47-1))</f>
        <v/>
      </c>
      <c r="C47" s="32" t="str">
        <f>IF($A47="","",EDATE(in_Start,$A47)-1)</f>
        <v/>
      </c>
      <c r="D47" s="32" t="str">
        <f>IF($A47="","",IF(c_Adv=1,B47,C47))</f>
        <v/>
      </c>
      <c r="E47" s="33" t="str">
        <f t="shared" si="5"/>
        <v/>
      </c>
      <c r="F47" s="33" t="str">
        <f>IF($A47="","",IF(c_Adv=1,(E47-G47)*c_Rate,E47*c_Rate))</f>
        <v/>
      </c>
      <c r="G47" s="33" t="str">
        <f>IF($A47="","",IF(AND(c_Adv=1,$A47=1),0,in_Pmt))</f>
        <v/>
      </c>
      <c r="H47" s="33" t="str">
        <f t="shared" si="3"/>
        <v/>
      </c>
      <c r="I47" s="31" t="str">
        <f t="shared" si="4"/>
        <v/>
      </c>
    </row>
    <row r="48" spans="1:9" x14ac:dyDescent="0.25">
      <c r="A48" s="31" t="str">
        <f>IF(A47="","",IF(A47+1&gt;in_Term,"",A47+1))</f>
        <v/>
      </c>
      <c r="B48" s="32" t="str">
        <f>IF($A48="","",EDATE(in_Start,$A48-1))</f>
        <v/>
      </c>
      <c r="C48" s="32" t="str">
        <f>IF($A48="","",EDATE(in_Start,$A48)-1)</f>
        <v/>
      </c>
      <c r="D48" s="32" t="str">
        <f>IF($A48="","",IF(c_Adv=1,B48,C48))</f>
        <v/>
      </c>
      <c r="E48" s="33" t="str">
        <f t="shared" si="5"/>
        <v/>
      </c>
      <c r="F48" s="33" t="str">
        <f>IF($A48="","",IF(c_Adv=1,(E48-G48)*c_Rate,E48*c_Rate))</f>
        <v/>
      </c>
      <c r="G48" s="33" t="str">
        <f>IF($A48="","",IF(AND(c_Adv=1,$A48=1),0,in_Pmt))</f>
        <v/>
      </c>
      <c r="H48" s="33" t="str">
        <f t="shared" si="3"/>
        <v/>
      </c>
      <c r="I48" s="31" t="str">
        <f t="shared" si="4"/>
        <v/>
      </c>
    </row>
    <row r="49" spans="1:9" x14ac:dyDescent="0.25">
      <c r="A49" s="31" t="str">
        <f>IF(A48="","",IF(A48+1&gt;in_Term,"",A48+1))</f>
        <v/>
      </c>
      <c r="B49" s="32" t="str">
        <f>IF($A49="","",EDATE(in_Start,$A49-1))</f>
        <v/>
      </c>
      <c r="C49" s="32" t="str">
        <f>IF($A49="","",EDATE(in_Start,$A49)-1)</f>
        <v/>
      </c>
      <c r="D49" s="32" t="str">
        <f>IF($A49="","",IF(c_Adv=1,B49,C49))</f>
        <v/>
      </c>
      <c r="E49" s="33" t="str">
        <f t="shared" si="5"/>
        <v/>
      </c>
      <c r="F49" s="33" t="str">
        <f>IF($A49="","",IF(c_Adv=1,(E49-G49)*c_Rate,E49*c_Rate))</f>
        <v/>
      </c>
      <c r="G49" s="33" t="str">
        <f>IF($A49="","",IF(AND(c_Adv=1,$A49=1),0,in_Pmt))</f>
        <v/>
      </c>
      <c r="H49" s="33" t="str">
        <f t="shared" si="3"/>
        <v/>
      </c>
      <c r="I49" s="31" t="str">
        <f t="shared" si="4"/>
        <v/>
      </c>
    </row>
    <row r="50" spans="1:9" x14ac:dyDescent="0.25">
      <c r="A50" s="31" t="str">
        <f>IF(A49="","",IF(A49+1&gt;in_Term,"",A49+1))</f>
        <v/>
      </c>
      <c r="B50" s="32" t="str">
        <f>IF($A50="","",EDATE(in_Start,$A50-1))</f>
        <v/>
      </c>
      <c r="C50" s="32" t="str">
        <f>IF($A50="","",EDATE(in_Start,$A50)-1)</f>
        <v/>
      </c>
      <c r="D50" s="32" t="str">
        <f>IF($A50="","",IF(c_Adv=1,B50,C50))</f>
        <v/>
      </c>
      <c r="E50" s="33" t="str">
        <f t="shared" si="5"/>
        <v/>
      </c>
      <c r="F50" s="33" t="str">
        <f>IF($A50="","",IF(c_Adv=1,(E50-G50)*c_Rate,E50*c_Rate))</f>
        <v/>
      </c>
      <c r="G50" s="33" t="str">
        <f>IF($A50="","",IF(AND(c_Adv=1,$A50=1),0,in_Pmt))</f>
        <v/>
      </c>
      <c r="H50" s="33" t="str">
        <f t="shared" si="3"/>
        <v/>
      </c>
      <c r="I50" s="31" t="str">
        <f t="shared" si="4"/>
        <v/>
      </c>
    </row>
    <row r="51" spans="1:9" x14ac:dyDescent="0.25">
      <c r="A51" s="31" t="str">
        <f>IF(A50="","",IF(A50+1&gt;in_Term,"",A50+1))</f>
        <v/>
      </c>
      <c r="B51" s="32" t="str">
        <f>IF($A51="","",EDATE(in_Start,$A51-1))</f>
        <v/>
      </c>
      <c r="C51" s="32" t="str">
        <f>IF($A51="","",EDATE(in_Start,$A51)-1)</f>
        <v/>
      </c>
      <c r="D51" s="32" t="str">
        <f>IF($A51="","",IF(c_Adv=1,B51,C51))</f>
        <v/>
      </c>
      <c r="E51" s="33" t="str">
        <f t="shared" si="5"/>
        <v/>
      </c>
      <c r="F51" s="33" t="str">
        <f>IF($A51="","",IF(c_Adv=1,(E51-G51)*c_Rate,E51*c_Rate))</f>
        <v/>
      </c>
      <c r="G51" s="33" t="str">
        <f>IF($A51="","",IF(AND(c_Adv=1,$A51=1),0,in_Pmt))</f>
        <v/>
      </c>
      <c r="H51" s="33" t="str">
        <f t="shared" si="3"/>
        <v/>
      </c>
      <c r="I51" s="31" t="str">
        <f t="shared" si="4"/>
        <v/>
      </c>
    </row>
    <row r="52" spans="1:9" x14ac:dyDescent="0.25">
      <c r="A52" s="31" t="str">
        <f>IF(A51="","",IF(A51+1&gt;in_Term,"",A51+1))</f>
        <v/>
      </c>
      <c r="B52" s="32" t="str">
        <f>IF($A52="","",EDATE(in_Start,$A52-1))</f>
        <v/>
      </c>
      <c r="C52" s="32" t="str">
        <f>IF($A52="","",EDATE(in_Start,$A52)-1)</f>
        <v/>
      </c>
      <c r="D52" s="32" t="str">
        <f>IF($A52="","",IF(c_Adv=1,B52,C52))</f>
        <v/>
      </c>
      <c r="E52" s="33" t="str">
        <f t="shared" si="5"/>
        <v/>
      </c>
      <c r="F52" s="33" t="str">
        <f>IF($A52="","",IF(c_Adv=1,(E52-G52)*c_Rate,E52*c_Rate))</f>
        <v/>
      </c>
      <c r="G52" s="33" t="str">
        <f>IF($A52="","",IF(AND(c_Adv=1,$A52=1),0,in_Pmt))</f>
        <v/>
      </c>
      <c r="H52" s="33" t="str">
        <f t="shared" si="3"/>
        <v/>
      </c>
      <c r="I52" s="31" t="str">
        <f t="shared" si="4"/>
        <v/>
      </c>
    </row>
    <row r="53" spans="1:9" x14ac:dyDescent="0.25">
      <c r="A53" s="31" t="str">
        <f>IF(A52="","",IF(A52+1&gt;in_Term,"",A52+1))</f>
        <v/>
      </c>
      <c r="B53" s="32" t="str">
        <f>IF($A53="","",EDATE(in_Start,$A53-1))</f>
        <v/>
      </c>
      <c r="C53" s="32" t="str">
        <f>IF($A53="","",EDATE(in_Start,$A53)-1)</f>
        <v/>
      </c>
      <c r="D53" s="32" t="str">
        <f>IF($A53="","",IF(c_Adv=1,B53,C53))</f>
        <v/>
      </c>
      <c r="E53" s="33" t="str">
        <f t="shared" si="5"/>
        <v/>
      </c>
      <c r="F53" s="33" t="str">
        <f>IF($A53="","",IF(c_Adv=1,(E53-G53)*c_Rate,E53*c_Rate))</f>
        <v/>
      </c>
      <c r="G53" s="33" t="str">
        <f>IF($A53="","",IF(AND(c_Adv=1,$A53=1),0,in_Pmt))</f>
        <v/>
      </c>
      <c r="H53" s="33" t="str">
        <f t="shared" si="3"/>
        <v/>
      </c>
      <c r="I53" s="31" t="str">
        <f t="shared" si="4"/>
        <v/>
      </c>
    </row>
    <row r="54" spans="1:9" x14ac:dyDescent="0.25">
      <c r="A54" s="31" t="str">
        <f>IF(A53="","",IF(A53+1&gt;in_Term,"",A53+1))</f>
        <v/>
      </c>
      <c r="B54" s="32" t="str">
        <f>IF($A54="","",EDATE(in_Start,$A54-1))</f>
        <v/>
      </c>
      <c r="C54" s="32" t="str">
        <f>IF($A54="","",EDATE(in_Start,$A54)-1)</f>
        <v/>
      </c>
      <c r="D54" s="32" t="str">
        <f>IF($A54="","",IF(c_Adv=1,B54,C54))</f>
        <v/>
      </c>
      <c r="E54" s="33" t="str">
        <f t="shared" si="5"/>
        <v/>
      </c>
      <c r="F54" s="33" t="str">
        <f>IF($A54="","",IF(c_Adv=1,(E54-G54)*c_Rate,E54*c_Rate))</f>
        <v/>
      </c>
      <c r="G54" s="33" t="str">
        <f>IF($A54="","",IF(AND(c_Adv=1,$A54=1),0,in_Pmt))</f>
        <v/>
      </c>
      <c r="H54" s="33" t="str">
        <f t="shared" si="3"/>
        <v/>
      </c>
      <c r="I54" s="31" t="str">
        <f t="shared" si="4"/>
        <v/>
      </c>
    </row>
    <row r="55" spans="1:9" x14ac:dyDescent="0.25">
      <c r="A55" s="31" t="str">
        <f>IF(A54="","",IF(A54+1&gt;in_Term,"",A54+1))</f>
        <v/>
      </c>
      <c r="B55" s="32" t="str">
        <f>IF($A55="","",EDATE(in_Start,$A55-1))</f>
        <v/>
      </c>
      <c r="C55" s="32" t="str">
        <f>IF($A55="","",EDATE(in_Start,$A55)-1)</f>
        <v/>
      </c>
      <c r="D55" s="32" t="str">
        <f>IF($A55="","",IF(c_Adv=1,B55,C55))</f>
        <v/>
      </c>
      <c r="E55" s="33" t="str">
        <f t="shared" si="5"/>
        <v/>
      </c>
      <c r="F55" s="33" t="str">
        <f>IF($A55="","",IF(c_Adv=1,(E55-G55)*c_Rate,E55*c_Rate))</f>
        <v/>
      </c>
      <c r="G55" s="33" t="str">
        <f>IF($A55="","",IF(AND(c_Adv=1,$A55=1),0,in_Pmt))</f>
        <v/>
      </c>
      <c r="H55" s="33" t="str">
        <f t="shared" si="3"/>
        <v/>
      </c>
      <c r="I55" s="31" t="str">
        <f t="shared" si="4"/>
        <v/>
      </c>
    </row>
    <row r="56" spans="1:9" x14ac:dyDescent="0.25">
      <c r="A56" s="31" t="str">
        <f>IF(A55="","",IF(A55+1&gt;in_Term,"",A55+1))</f>
        <v/>
      </c>
      <c r="B56" s="32" t="str">
        <f>IF($A56="","",EDATE(in_Start,$A56-1))</f>
        <v/>
      </c>
      <c r="C56" s="32" t="str">
        <f>IF($A56="","",EDATE(in_Start,$A56)-1)</f>
        <v/>
      </c>
      <c r="D56" s="32" t="str">
        <f>IF($A56="","",IF(c_Adv=1,B56,C56))</f>
        <v/>
      </c>
      <c r="E56" s="33" t="str">
        <f t="shared" si="5"/>
        <v/>
      </c>
      <c r="F56" s="33" t="str">
        <f>IF($A56="","",IF(c_Adv=1,(E56-G56)*c_Rate,E56*c_Rate))</f>
        <v/>
      </c>
      <c r="G56" s="33" t="str">
        <f>IF($A56="","",IF(AND(c_Adv=1,$A56=1),0,in_Pmt))</f>
        <v/>
      </c>
      <c r="H56" s="33" t="str">
        <f t="shared" si="3"/>
        <v/>
      </c>
      <c r="I56" s="31" t="str">
        <f t="shared" si="4"/>
        <v/>
      </c>
    </row>
    <row r="57" spans="1:9" x14ac:dyDescent="0.25">
      <c r="A57" s="31" t="str">
        <f>IF(A56="","",IF(A56+1&gt;in_Term,"",A56+1))</f>
        <v/>
      </c>
      <c r="B57" s="32" t="str">
        <f>IF($A57="","",EDATE(in_Start,$A57-1))</f>
        <v/>
      </c>
      <c r="C57" s="32" t="str">
        <f>IF($A57="","",EDATE(in_Start,$A57)-1)</f>
        <v/>
      </c>
      <c r="D57" s="32" t="str">
        <f>IF($A57="","",IF(c_Adv=1,B57,C57))</f>
        <v/>
      </c>
      <c r="E57" s="33" t="str">
        <f t="shared" si="5"/>
        <v/>
      </c>
      <c r="F57" s="33" t="str">
        <f>IF($A57="","",IF(c_Adv=1,(E57-G57)*c_Rate,E57*c_Rate))</f>
        <v/>
      </c>
      <c r="G57" s="33" t="str">
        <f>IF($A57="","",IF(AND(c_Adv=1,$A57=1),0,in_Pmt))</f>
        <v/>
      </c>
      <c r="H57" s="33" t="str">
        <f t="shared" si="3"/>
        <v/>
      </c>
      <c r="I57" s="31" t="str">
        <f t="shared" si="4"/>
        <v/>
      </c>
    </row>
    <row r="58" spans="1:9" x14ac:dyDescent="0.25">
      <c r="A58" s="31" t="str">
        <f>IF(A57="","",IF(A57+1&gt;in_Term,"",A57+1))</f>
        <v/>
      </c>
      <c r="B58" s="32" t="str">
        <f>IF($A58="","",EDATE(in_Start,$A58-1))</f>
        <v/>
      </c>
      <c r="C58" s="32" t="str">
        <f>IF($A58="","",EDATE(in_Start,$A58)-1)</f>
        <v/>
      </c>
      <c r="D58" s="32" t="str">
        <f>IF($A58="","",IF(c_Adv=1,B58,C58))</f>
        <v/>
      </c>
      <c r="E58" s="33" t="str">
        <f t="shared" si="5"/>
        <v/>
      </c>
      <c r="F58" s="33" t="str">
        <f>IF($A58="","",IF(c_Adv=1,(E58-G58)*c_Rate,E58*c_Rate))</f>
        <v/>
      </c>
      <c r="G58" s="33" t="str">
        <f>IF($A58="","",IF(AND(c_Adv=1,$A58=1),0,in_Pmt))</f>
        <v/>
      </c>
      <c r="H58" s="33" t="str">
        <f t="shared" si="3"/>
        <v/>
      </c>
      <c r="I58" s="31" t="str">
        <f t="shared" si="4"/>
        <v/>
      </c>
    </row>
    <row r="59" spans="1:9" x14ac:dyDescent="0.25">
      <c r="A59" s="31" t="str">
        <f>IF(A58="","",IF(A58+1&gt;in_Term,"",A58+1))</f>
        <v/>
      </c>
      <c r="B59" s="32" t="str">
        <f>IF($A59="","",EDATE(in_Start,$A59-1))</f>
        <v/>
      </c>
      <c r="C59" s="32" t="str">
        <f>IF($A59="","",EDATE(in_Start,$A59)-1)</f>
        <v/>
      </c>
      <c r="D59" s="32" t="str">
        <f>IF($A59="","",IF(c_Adv=1,B59,C59))</f>
        <v/>
      </c>
      <c r="E59" s="33" t="str">
        <f t="shared" si="5"/>
        <v/>
      </c>
      <c r="F59" s="33" t="str">
        <f>IF($A59="","",IF(c_Adv=1,(E59-G59)*c_Rate,E59*c_Rate))</f>
        <v/>
      </c>
      <c r="G59" s="33" t="str">
        <f>IF($A59="","",IF(AND(c_Adv=1,$A59=1),0,in_Pmt))</f>
        <v/>
      </c>
      <c r="H59" s="33" t="str">
        <f t="shared" si="3"/>
        <v/>
      </c>
      <c r="I59" s="31" t="str">
        <f t="shared" si="4"/>
        <v/>
      </c>
    </row>
    <row r="60" spans="1:9" x14ac:dyDescent="0.25">
      <c r="A60" s="31" t="str">
        <f>IF(A59="","",IF(A59+1&gt;in_Term,"",A59+1))</f>
        <v/>
      </c>
      <c r="B60" s="32" t="str">
        <f>IF($A60="","",EDATE(in_Start,$A60-1))</f>
        <v/>
      </c>
      <c r="C60" s="32" t="str">
        <f>IF($A60="","",EDATE(in_Start,$A60)-1)</f>
        <v/>
      </c>
      <c r="D60" s="32" t="str">
        <f>IF($A60="","",IF(c_Adv=1,B60,C60))</f>
        <v/>
      </c>
      <c r="E60" s="33" t="str">
        <f t="shared" si="5"/>
        <v/>
      </c>
      <c r="F60" s="33" t="str">
        <f>IF($A60="","",IF(c_Adv=1,(E60-G60)*c_Rate,E60*c_Rate))</f>
        <v/>
      </c>
      <c r="G60" s="33" t="str">
        <f>IF($A60="","",IF(AND(c_Adv=1,$A60=1),0,in_Pmt))</f>
        <v/>
      </c>
      <c r="H60" s="33" t="str">
        <f t="shared" si="3"/>
        <v/>
      </c>
      <c r="I60" s="31" t="str">
        <f t="shared" si="4"/>
        <v/>
      </c>
    </row>
    <row r="61" spans="1:9" x14ac:dyDescent="0.25">
      <c r="A61" s="31" t="str">
        <f>IF(A60="","",IF(A60+1&gt;in_Term,"",A60+1))</f>
        <v/>
      </c>
      <c r="B61" s="32" t="str">
        <f>IF($A61="","",EDATE(in_Start,$A61-1))</f>
        <v/>
      </c>
      <c r="C61" s="32" t="str">
        <f>IF($A61="","",EDATE(in_Start,$A61)-1)</f>
        <v/>
      </c>
      <c r="D61" s="32" t="str">
        <f>IF($A61="","",IF(c_Adv=1,B61,C61))</f>
        <v/>
      </c>
      <c r="E61" s="33" t="str">
        <f t="shared" si="5"/>
        <v/>
      </c>
      <c r="F61" s="33" t="str">
        <f>IF($A61="","",IF(c_Adv=1,(E61-G61)*c_Rate,E61*c_Rate))</f>
        <v/>
      </c>
      <c r="G61" s="33" t="str">
        <f>IF($A61="","",IF(AND(c_Adv=1,$A61=1),0,in_Pmt))</f>
        <v/>
      </c>
      <c r="H61" s="33" t="str">
        <f t="shared" si="3"/>
        <v/>
      </c>
      <c r="I61" s="31" t="str">
        <f t="shared" si="4"/>
        <v/>
      </c>
    </row>
    <row r="62" spans="1:9" x14ac:dyDescent="0.25">
      <c r="A62" s="31" t="str">
        <f>IF(A61="","",IF(A61+1&gt;in_Term,"",A61+1))</f>
        <v/>
      </c>
      <c r="B62" s="32" t="str">
        <f>IF($A62="","",EDATE(in_Start,$A62-1))</f>
        <v/>
      </c>
      <c r="C62" s="32" t="str">
        <f>IF($A62="","",EDATE(in_Start,$A62)-1)</f>
        <v/>
      </c>
      <c r="D62" s="32" t="str">
        <f>IF($A62="","",IF(c_Adv=1,B62,C62))</f>
        <v/>
      </c>
      <c r="E62" s="33" t="str">
        <f t="shared" si="5"/>
        <v/>
      </c>
      <c r="F62" s="33" t="str">
        <f>IF($A62="","",IF(c_Adv=1,(E62-G62)*c_Rate,E62*c_Rate))</f>
        <v/>
      </c>
      <c r="G62" s="33" t="str">
        <f>IF($A62="","",IF(AND(c_Adv=1,$A62=1),0,in_Pmt))</f>
        <v/>
      </c>
      <c r="H62" s="33" t="str">
        <f t="shared" si="3"/>
        <v/>
      </c>
      <c r="I62" s="31" t="str">
        <f t="shared" si="4"/>
        <v/>
      </c>
    </row>
    <row r="63" spans="1:9" x14ac:dyDescent="0.25">
      <c r="A63" s="31" t="str">
        <f>IF(A62="","",IF(A62+1&gt;in_Term,"",A62+1))</f>
        <v/>
      </c>
      <c r="B63" s="32" t="str">
        <f>IF($A63="","",EDATE(in_Start,$A63-1))</f>
        <v/>
      </c>
      <c r="C63" s="32" t="str">
        <f>IF($A63="","",EDATE(in_Start,$A63)-1)</f>
        <v/>
      </c>
      <c r="D63" s="32" t="str">
        <f>IF($A63="","",IF(c_Adv=1,B63,C63))</f>
        <v/>
      </c>
      <c r="E63" s="33" t="str">
        <f t="shared" si="5"/>
        <v/>
      </c>
      <c r="F63" s="33" t="str">
        <f>IF($A63="","",IF(c_Adv=1,(E63-G63)*c_Rate,E63*c_Rate))</f>
        <v/>
      </c>
      <c r="G63" s="33" t="str">
        <f>IF($A63="","",IF(AND(c_Adv=1,$A63=1),0,in_Pmt))</f>
        <v/>
      </c>
      <c r="H63" s="33" t="str">
        <f t="shared" si="3"/>
        <v/>
      </c>
      <c r="I63" s="31" t="str">
        <f t="shared" si="4"/>
        <v/>
      </c>
    </row>
    <row r="64" spans="1:9" x14ac:dyDescent="0.25">
      <c r="A64" s="31" t="str">
        <f>IF(A63="","",IF(A63+1&gt;in_Term,"",A63+1))</f>
        <v/>
      </c>
      <c r="B64" s="32" t="str">
        <f>IF($A64="","",EDATE(in_Start,$A64-1))</f>
        <v/>
      </c>
      <c r="C64" s="32" t="str">
        <f>IF($A64="","",EDATE(in_Start,$A64)-1)</f>
        <v/>
      </c>
      <c r="D64" s="32" t="str">
        <f>IF($A64="","",IF(c_Adv=1,B64,C64))</f>
        <v/>
      </c>
      <c r="E64" s="33" t="str">
        <f t="shared" si="5"/>
        <v/>
      </c>
      <c r="F64" s="33" t="str">
        <f>IF($A64="","",IF(c_Adv=1,(E64-G64)*c_Rate,E64*c_Rate))</f>
        <v/>
      </c>
      <c r="G64" s="33" t="str">
        <f>IF($A64="","",IF(AND(c_Adv=1,$A64=1),0,in_Pmt))</f>
        <v/>
      </c>
      <c r="H64" s="33" t="str">
        <f t="shared" si="3"/>
        <v/>
      </c>
      <c r="I64" s="31" t="str">
        <f t="shared" si="4"/>
        <v/>
      </c>
    </row>
    <row r="65" spans="1:9" x14ac:dyDescent="0.25">
      <c r="A65" s="31" t="str">
        <f>IF(A64="","",IF(A64+1&gt;in_Term,"",A64+1))</f>
        <v/>
      </c>
      <c r="B65" s="32" t="str">
        <f>IF($A65="","",EDATE(in_Start,$A65-1))</f>
        <v/>
      </c>
      <c r="C65" s="32" t="str">
        <f>IF($A65="","",EDATE(in_Start,$A65)-1)</f>
        <v/>
      </c>
      <c r="D65" s="32" t="str">
        <f>IF($A65="","",IF(c_Adv=1,B65,C65))</f>
        <v/>
      </c>
      <c r="E65" s="33" t="str">
        <f t="shared" si="5"/>
        <v/>
      </c>
      <c r="F65" s="33" t="str">
        <f>IF($A65="","",IF(c_Adv=1,(E65-G65)*c_Rate,E65*c_Rate))</f>
        <v/>
      </c>
      <c r="G65" s="33" t="str">
        <f>IF($A65="","",IF(AND(c_Adv=1,$A65=1),0,in_Pmt))</f>
        <v/>
      </c>
      <c r="H65" s="33" t="str">
        <f t="shared" si="3"/>
        <v/>
      </c>
      <c r="I65" s="31" t="str">
        <f t="shared" si="4"/>
        <v/>
      </c>
    </row>
    <row r="66" spans="1:9" x14ac:dyDescent="0.25">
      <c r="A66" s="31" t="str">
        <f>IF(A65="","",IF(A65+1&gt;in_Term,"",A65+1))</f>
        <v/>
      </c>
      <c r="B66" s="32" t="str">
        <f>IF($A66="","",EDATE(in_Start,$A66-1))</f>
        <v/>
      </c>
      <c r="C66" s="32" t="str">
        <f>IF($A66="","",EDATE(in_Start,$A66)-1)</f>
        <v/>
      </c>
      <c r="D66" s="32" t="str">
        <f>IF($A66="","",IF(c_Adv=1,B66,C66))</f>
        <v/>
      </c>
      <c r="E66" s="33" t="str">
        <f t="shared" si="5"/>
        <v/>
      </c>
      <c r="F66" s="33" t="str">
        <f>IF($A66="","",IF(c_Adv=1,(E66-G66)*c_Rate,E66*c_Rate))</f>
        <v/>
      </c>
      <c r="G66" s="33" t="str">
        <f>IF($A66="","",IF(AND(c_Adv=1,$A66=1),0,in_Pmt))</f>
        <v/>
      </c>
      <c r="H66" s="33" t="str">
        <f t="shared" si="3"/>
        <v/>
      </c>
      <c r="I66" s="31" t="str">
        <f t="shared" si="4"/>
        <v/>
      </c>
    </row>
    <row r="67" spans="1:9" x14ac:dyDescent="0.25">
      <c r="A67" s="31" t="str">
        <f>IF(A66="","",IF(A66+1&gt;in_Term,"",A66+1))</f>
        <v/>
      </c>
      <c r="B67" s="32" t="str">
        <f>IF($A67="","",EDATE(in_Start,$A67-1))</f>
        <v/>
      </c>
      <c r="C67" s="32" t="str">
        <f>IF($A67="","",EDATE(in_Start,$A67)-1)</f>
        <v/>
      </c>
      <c r="D67" s="32" t="str">
        <f>IF($A67="","",IF(c_Adv=1,B67,C67))</f>
        <v/>
      </c>
      <c r="E67" s="33" t="str">
        <f t="shared" si="5"/>
        <v/>
      </c>
      <c r="F67" s="33" t="str">
        <f>IF($A67="","",IF(c_Adv=1,(E67-G67)*c_Rate,E67*c_Rate))</f>
        <v/>
      </c>
      <c r="G67" s="33" t="str">
        <f>IF($A67="","",IF(AND(c_Adv=1,$A67=1),0,in_Pmt))</f>
        <v/>
      </c>
      <c r="H67" s="33" t="str">
        <f t="shared" si="3"/>
        <v/>
      </c>
      <c r="I67" s="31" t="str">
        <f t="shared" si="4"/>
        <v/>
      </c>
    </row>
    <row r="68" spans="1:9" x14ac:dyDescent="0.25">
      <c r="A68" s="31" t="str">
        <f>IF(A67="","",IF(A67+1&gt;in_Term,"",A67+1))</f>
        <v/>
      </c>
      <c r="B68" s="32" t="str">
        <f>IF($A68="","",EDATE(in_Start,$A68-1))</f>
        <v/>
      </c>
      <c r="C68" s="32" t="str">
        <f>IF($A68="","",EDATE(in_Start,$A68)-1)</f>
        <v/>
      </c>
      <c r="D68" s="32" t="str">
        <f>IF($A68="","",IF(c_Adv=1,B68,C68))</f>
        <v/>
      </c>
      <c r="E68" s="33" t="str">
        <f t="shared" si="5"/>
        <v/>
      </c>
      <c r="F68" s="33" t="str">
        <f>IF($A68="","",IF(c_Adv=1,(E68-G68)*c_Rate,E68*c_Rate))</f>
        <v/>
      </c>
      <c r="G68" s="33" t="str">
        <f>IF($A68="","",IF(AND(c_Adv=1,$A68=1),0,in_Pmt))</f>
        <v/>
      </c>
      <c r="H68" s="33" t="str">
        <f t="shared" si="3"/>
        <v/>
      </c>
      <c r="I68" s="31" t="str">
        <f t="shared" si="4"/>
        <v/>
      </c>
    </row>
    <row r="69" spans="1:9" x14ac:dyDescent="0.25">
      <c r="A69" s="31" t="str">
        <f>IF(A68="","",IF(A68+1&gt;in_Term,"",A68+1))</f>
        <v/>
      </c>
      <c r="B69" s="32" t="str">
        <f>IF($A69="","",EDATE(in_Start,$A69-1))</f>
        <v/>
      </c>
      <c r="C69" s="32" t="str">
        <f>IF($A69="","",EDATE(in_Start,$A69)-1)</f>
        <v/>
      </c>
      <c r="D69" s="32" t="str">
        <f>IF($A69="","",IF(c_Adv=1,B69,C69))</f>
        <v/>
      </c>
      <c r="E69" s="33" t="str">
        <f t="shared" si="5"/>
        <v/>
      </c>
      <c r="F69" s="33" t="str">
        <f>IF($A69="","",IF(c_Adv=1,(E69-G69)*c_Rate,E69*c_Rate))</f>
        <v/>
      </c>
      <c r="G69" s="33" t="str">
        <f>IF($A69="","",IF(AND(c_Adv=1,$A69=1),0,in_Pmt))</f>
        <v/>
      </c>
      <c r="H69" s="33" t="str">
        <f t="shared" si="3"/>
        <v/>
      </c>
      <c r="I69" s="31" t="str">
        <f t="shared" si="4"/>
        <v/>
      </c>
    </row>
    <row r="70" spans="1:9" x14ac:dyDescent="0.25">
      <c r="A70" s="31" t="str">
        <f>IF(A69="","",IF(A69+1&gt;in_Term,"",A69+1))</f>
        <v/>
      </c>
      <c r="B70" s="32" t="str">
        <f>IF($A70="","",EDATE(in_Start,$A70-1))</f>
        <v/>
      </c>
      <c r="C70" s="32" t="str">
        <f>IF($A70="","",EDATE(in_Start,$A70)-1)</f>
        <v/>
      </c>
      <c r="D70" s="32" t="str">
        <f>IF($A70="","",IF(c_Adv=1,B70,C70))</f>
        <v/>
      </c>
      <c r="E70" s="33" t="str">
        <f t="shared" si="5"/>
        <v/>
      </c>
      <c r="F70" s="33" t="str">
        <f>IF($A70="","",IF(c_Adv=1,(E70-G70)*c_Rate,E70*c_Rate))</f>
        <v/>
      </c>
      <c r="G70" s="33" t="str">
        <f>IF($A70="","",IF(AND(c_Adv=1,$A70=1),0,in_Pmt))</f>
        <v/>
      </c>
      <c r="H70" s="33" t="str">
        <f t="shared" si="3"/>
        <v/>
      </c>
      <c r="I70" s="31" t="str">
        <f t="shared" si="4"/>
        <v/>
      </c>
    </row>
    <row r="71" spans="1:9" x14ac:dyDescent="0.25">
      <c r="A71" s="31" t="str">
        <f>IF(A70="","",IF(A70+1&gt;in_Term,"",A70+1))</f>
        <v/>
      </c>
      <c r="B71" s="32" t="str">
        <f>IF($A71="","",EDATE(in_Start,$A71-1))</f>
        <v/>
      </c>
      <c r="C71" s="32" t="str">
        <f>IF($A71="","",EDATE(in_Start,$A71)-1)</f>
        <v/>
      </c>
      <c r="D71" s="32" t="str">
        <f>IF($A71="","",IF(c_Adv=1,B71,C71))</f>
        <v/>
      </c>
      <c r="E71" s="33" t="str">
        <f t="shared" si="5"/>
        <v/>
      </c>
      <c r="F71" s="33" t="str">
        <f>IF($A71="","",IF(c_Adv=1,(E71-G71)*c_Rate,E71*c_Rate))</f>
        <v/>
      </c>
      <c r="G71" s="33" t="str">
        <f>IF($A71="","",IF(AND(c_Adv=1,$A71=1),0,in_Pmt))</f>
        <v/>
      </c>
      <c r="H71" s="33" t="str">
        <f t="shared" si="3"/>
        <v/>
      </c>
      <c r="I71" s="31" t="str">
        <f t="shared" si="4"/>
        <v/>
      </c>
    </row>
    <row r="72" spans="1:9" x14ac:dyDescent="0.25">
      <c r="A72" s="31" t="str">
        <f>IF(A71="","",IF(A71+1&gt;in_Term,"",A71+1))</f>
        <v/>
      </c>
      <c r="B72" s="32" t="str">
        <f>IF($A72="","",EDATE(in_Start,$A72-1))</f>
        <v/>
      </c>
      <c r="C72" s="32" t="str">
        <f>IF($A72="","",EDATE(in_Start,$A72)-1)</f>
        <v/>
      </c>
      <c r="D72" s="32" t="str">
        <f>IF($A72="","",IF(c_Adv=1,B72,C72))</f>
        <v/>
      </c>
      <c r="E72" s="33" t="str">
        <f t="shared" si="5"/>
        <v/>
      </c>
      <c r="F72" s="33" t="str">
        <f>IF($A72="","",IF(c_Adv=1,(E72-G72)*c_Rate,E72*c_Rate))</f>
        <v/>
      </c>
      <c r="G72" s="33" t="str">
        <f>IF($A72="","",IF(AND(c_Adv=1,$A72=1),0,in_Pmt))</f>
        <v/>
      </c>
      <c r="H72" s="33" t="str">
        <f t="shared" ref="H72:H103" si="6">IF($A72="","",E72+F72-G72)</f>
        <v/>
      </c>
      <c r="I72" s="31" t="str">
        <f t="shared" ref="I72:I103" si="7">IF($A72="","",INT(($A72-1)/12)+1)</f>
        <v/>
      </c>
    </row>
    <row r="73" spans="1:9" x14ac:dyDescent="0.25">
      <c r="A73" s="31" t="str">
        <f>IF(A72="","",IF(A72+1&gt;in_Term,"",A72+1))</f>
        <v/>
      </c>
      <c r="B73" s="32" t="str">
        <f>IF($A73="","",EDATE(in_Start,$A73-1))</f>
        <v/>
      </c>
      <c r="C73" s="32" t="str">
        <f>IF($A73="","",EDATE(in_Start,$A73)-1)</f>
        <v/>
      </c>
      <c r="D73" s="32" t="str">
        <f>IF($A73="","",IF(c_Adv=1,B73,C73))</f>
        <v/>
      </c>
      <c r="E73" s="33" t="str">
        <f t="shared" ref="E73:E104" si="8">IF($A73="","",H72)</f>
        <v/>
      </c>
      <c r="F73" s="33" t="str">
        <f>IF($A73="","",IF(c_Adv=1,(E73-G73)*c_Rate,E73*c_Rate))</f>
        <v/>
      </c>
      <c r="G73" s="33" t="str">
        <f>IF($A73="","",IF(AND(c_Adv=1,$A73=1),0,in_Pmt))</f>
        <v/>
      </c>
      <c r="H73" s="33" t="str">
        <f t="shared" si="6"/>
        <v/>
      </c>
      <c r="I73" s="31" t="str">
        <f t="shared" si="7"/>
        <v/>
      </c>
    </row>
    <row r="74" spans="1:9" x14ac:dyDescent="0.25">
      <c r="A74" s="31" t="str">
        <f>IF(A73="","",IF(A73+1&gt;in_Term,"",A73+1))</f>
        <v/>
      </c>
      <c r="B74" s="32" t="str">
        <f>IF($A74="","",EDATE(in_Start,$A74-1))</f>
        <v/>
      </c>
      <c r="C74" s="32" t="str">
        <f>IF($A74="","",EDATE(in_Start,$A74)-1)</f>
        <v/>
      </c>
      <c r="D74" s="32" t="str">
        <f>IF($A74="","",IF(c_Adv=1,B74,C74))</f>
        <v/>
      </c>
      <c r="E74" s="33" t="str">
        <f t="shared" si="8"/>
        <v/>
      </c>
      <c r="F74" s="33" t="str">
        <f>IF($A74="","",IF(c_Adv=1,(E74-G74)*c_Rate,E74*c_Rate))</f>
        <v/>
      </c>
      <c r="G74" s="33" t="str">
        <f>IF($A74="","",IF(AND(c_Adv=1,$A74=1),0,in_Pmt))</f>
        <v/>
      </c>
      <c r="H74" s="33" t="str">
        <f t="shared" si="6"/>
        <v/>
      </c>
      <c r="I74" s="31" t="str">
        <f t="shared" si="7"/>
        <v/>
      </c>
    </row>
    <row r="75" spans="1:9" x14ac:dyDescent="0.25">
      <c r="A75" s="31" t="str">
        <f>IF(A74="","",IF(A74+1&gt;in_Term,"",A74+1))</f>
        <v/>
      </c>
      <c r="B75" s="32" t="str">
        <f>IF($A75="","",EDATE(in_Start,$A75-1))</f>
        <v/>
      </c>
      <c r="C75" s="32" t="str">
        <f>IF($A75="","",EDATE(in_Start,$A75)-1)</f>
        <v/>
      </c>
      <c r="D75" s="32" t="str">
        <f>IF($A75="","",IF(c_Adv=1,B75,C75))</f>
        <v/>
      </c>
      <c r="E75" s="33" t="str">
        <f t="shared" si="8"/>
        <v/>
      </c>
      <c r="F75" s="33" t="str">
        <f>IF($A75="","",IF(c_Adv=1,(E75-G75)*c_Rate,E75*c_Rate))</f>
        <v/>
      </c>
      <c r="G75" s="33" t="str">
        <f>IF($A75="","",IF(AND(c_Adv=1,$A75=1),0,in_Pmt))</f>
        <v/>
      </c>
      <c r="H75" s="33" t="str">
        <f t="shared" si="6"/>
        <v/>
      </c>
      <c r="I75" s="31" t="str">
        <f t="shared" si="7"/>
        <v/>
      </c>
    </row>
    <row r="76" spans="1:9" x14ac:dyDescent="0.25">
      <c r="A76" s="31" t="str">
        <f>IF(A75="","",IF(A75+1&gt;in_Term,"",A75+1))</f>
        <v/>
      </c>
      <c r="B76" s="32" t="str">
        <f>IF($A76="","",EDATE(in_Start,$A76-1))</f>
        <v/>
      </c>
      <c r="C76" s="32" t="str">
        <f>IF($A76="","",EDATE(in_Start,$A76)-1)</f>
        <v/>
      </c>
      <c r="D76" s="32" t="str">
        <f>IF($A76="","",IF(c_Adv=1,B76,C76))</f>
        <v/>
      </c>
      <c r="E76" s="33" t="str">
        <f t="shared" si="8"/>
        <v/>
      </c>
      <c r="F76" s="33" t="str">
        <f>IF($A76="","",IF(c_Adv=1,(E76-G76)*c_Rate,E76*c_Rate))</f>
        <v/>
      </c>
      <c r="G76" s="33" t="str">
        <f>IF($A76="","",IF(AND(c_Adv=1,$A76=1),0,in_Pmt))</f>
        <v/>
      </c>
      <c r="H76" s="33" t="str">
        <f t="shared" si="6"/>
        <v/>
      </c>
      <c r="I76" s="31" t="str">
        <f t="shared" si="7"/>
        <v/>
      </c>
    </row>
    <row r="77" spans="1:9" x14ac:dyDescent="0.25">
      <c r="A77" s="31" t="str">
        <f>IF(A76="","",IF(A76+1&gt;in_Term,"",A76+1))</f>
        <v/>
      </c>
      <c r="B77" s="32" t="str">
        <f>IF($A77="","",EDATE(in_Start,$A77-1))</f>
        <v/>
      </c>
      <c r="C77" s="32" t="str">
        <f>IF($A77="","",EDATE(in_Start,$A77)-1)</f>
        <v/>
      </c>
      <c r="D77" s="32" t="str">
        <f>IF($A77="","",IF(c_Adv=1,B77,C77))</f>
        <v/>
      </c>
      <c r="E77" s="33" t="str">
        <f t="shared" si="8"/>
        <v/>
      </c>
      <c r="F77" s="33" t="str">
        <f>IF($A77="","",IF(c_Adv=1,(E77-G77)*c_Rate,E77*c_Rate))</f>
        <v/>
      </c>
      <c r="G77" s="33" t="str">
        <f>IF($A77="","",IF(AND(c_Adv=1,$A77=1),0,in_Pmt))</f>
        <v/>
      </c>
      <c r="H77" s="33" t="str">
        <f t="shared" si="6"/>
        <v/>
      </c>
      <c r="I77" s="31" t="str">
        <f t="shared" si="7"/>
        <v/>
      </c>
    </row>
    <row r="78" spans="1:9" x14ac:dyDescent="0.25">
      <c r="A78" s="31" t="str">
        <f>IF(A77="","",IF(A77+1&gt;in_Term,"",A77+1))</f>
        <v/>
      </c>
      <c r="B78" s="32" t="str">
        <f>IF($A78="","",EDATE(in_Start,$A78-1))</f>
        <v/>
      </c>
      <c r="C78" s="32" t="str">
        <f>IF($A78="","",EDATE(in_Start,$A78)-1)</f>
        <v/>
      </c>
      <c r="D78" s="32" t="str">
        <f>IF($A78="","",IF(c_Adv=1,B78,C78))</f>
        <v/>
      </c>
      <c r="E78" s="33" t="str">
        <f t="shared" si="8"/>
        <v/>
      </c>
      <c r="F78" s="33" t="str">
        <f>IF($A78="","",IF(c_Adv=1,(E78-G78)*c_Rate,E78*c_Rate))</f>
        <v/>
      </c>
      <c r="G78" s="33" t="str">
        <f>IF($A78="","",IF(AND(c_Adv=1,$A78=1),0,in_Pmt))</f>
        <v/>
      </c>
      <c r="H78" s="33" t="str">
        <f t="shared" si="6"/>
        <v/>
      </c>
      <c r="I78" s="31" t="str">
        <f t="shared" si="7"/>
        <v/>
      </c>
    </row>
    <row r="79" spans="1:9" x14ac:dyDescent="0.25">
      <c r="A79" s="31" t="str">
        <f>IF(A78="","",IF(A78+1&gt;in_Term,"",A78+1))</f>
        <v/>
      </c>
      <c r="B79" s="32" t="str">
        <f>IF($A79="","",EDATE(in_Start,$A79-1))</f>
        <v/>
      </c>
      <c r="C79" s="32" t="str">
        <f>IF($A79="","",EDATE(in_Start,$A79)-1)</f>
        <v/>
      </c>
      <c r="D79" s="32" t="str">
        <f>IF($A79="","",IF(c_Adv=1,B79,C79))</f>
        <v/>
      </c>
      <c r="E79" s="33" t="str">
        <f t="shared" si="8"/>
        <v/>
      </c>
      <c r="F79" s="33" t="str">
        <f>IF($A79="","",IF(c_Adv=1,(E79-G79)*c_Rate,E79*c_Rate))</f>
        <v/>
      </c>
      <c r="G79" s="33" t="str">
        <f>IF($A79="","",IF(AND(c_Adv=1,$A79=1),0,in_Pmt))</f>
        <v/>
      </c>
      <c r="H79" s="33" t="str">
        <f t="shared" si="6"/>
        <v/>
      </c>
      <c r="I79" s="31" t="str">
        <f t="shared" si="7"/>
        <v/>
      </c>
    </row>
    <row r="80" spans="1:9" x14ac:dyDescent="0.25">
      <c r="A80" s="31" t="str">
        <f>IF(A79="","",IF(A79+1&gt;in_Term,"",A79+1))</f>
        <v/>
      </c>
      <c r="B80" s="32" t="str">
        <f>IF($A80="","",EDATE(in_Start,$A80-1))</f>
        <v/>
      </c>
      <c r="C80" s="32" t="str">
        <f>IF($A80="","",EDATE(in_Start,$A80)-1)</f>
        <v/>
      </c>
      <c r="D80" s="32" t="str">
        <f>IF($A80="","",IF(c_Adv=1,B80,C80))</f>
        <v/>
      </c>
      <c r="E80" s="33" t="str">
        <f t="shared" si="8"/>
        <v/>
      </c>
      <c r="F80" s="33" t="str">
        <f>IF($A80="","",IF(c_Adv=1,(E80-G80)*c_Rate,E80*c_Rate))</f>
        <v/>
      </c>
      <c r="G80" s="33" t="str">
        <f>IF($A80="","",IF(AND(c_Adv=1,$A80=1),0,in_Pmt))</f>
        <v/>
      </c>
      <c r="H80" s="33" t="str">
        <f t="shared" si="6"/>
        <v/>
      </c>
      <c r="I80" s="31" t="str">
        <f t="shared" si="7"/>
        <v/>
      </c>
    </row>
    <row r="81" spans="1:9" x14ac:dyDescent="0.25">
      <c r="A81" s="31" t="str">
        <f>IF(A80="","",IF(A80+1&gt;in_Term,"",A80+1))</f>
        <v/>
      </c>
      <c r="B81" s="32" t="str">
        <f>IF($A81="","",EDATE(in_Start,$A81-1))</f>
        <v/>
      </c>
      <c r="C81" s="32" t="str">
        <f>IF($A81="","",EDATE(in_Start,$A81)-1)</f>
        <v/>
      </c>
      <c r="D81" s="32" t="str">
        <f>IF($A81="","",IF(c_Adv=1,B81,C81))</f>
        <v/>
      </c>
      <c r="E81" s="33" t="str">
        <f t="shared" si="8"/>
        <v/>
      </c>
      <c r="F81" s="33" t="str">
        <f>IF($A81="","",IF(c_Adv=1,(E81-G81)*c_Rate,E81*c_Rate))</f>
        <v/>
      </c>
      <c r="G81" s="33" t="str">
        <f>IF($A81="","",IF(AND(c_Adv=1,$A81=1),0,in_Pmt))</f>
        <v/>
      </c>
      <c r="H81" s="33" t="str">
        <f t="shared" si="6"/>
        <v/>
      </c>
      <c r="I81" s="31" t="str">
        <f t="shared" si="7"/>
        <v/>
      </c>
    </row>
    <row r="82" spans="1:9" x14ac:dyDescent="0.25">
      <c r="A82" s="31" t="str">
        <f>IF(A81="","",IF(A81+1&gt;in_Term,"",A81+1))</f>
        <v/>
      </c>
      <c r="B82" s="32" t="str">
        <f>IF($A82="","",EDATE(in_Start,$A82-1))</f>
        <v/>
      </c>
      <c r="C82" s="32" t="str">
        <f>IF($A82="","",EDATE(in_Start,$A82)-1)</f>
        <v/>
      </c>
      <c r="D82" s="32" t="str">
        <f>IF($A82="","",IF(c_Adv=1,B82,C82))</f>
        <v/>
      </c>
      <c r="E82" s="33" t="str">
        <f t="shared" si="8"/>
        <v/>
      </c>
      <c r="F82" s="33" t="str">
        <f>IF($A82="","",IF(c_Adv=1,(E82-G82)*c_Rate,E82*c_Rate))</f>
        <v/>
      </c>
      <c r="G82" s="33" t="str">
        <f>IF($A82="","",IF(AND(c_Adv=1,$A82=1),0,in_Pmt))</f>
        <v/>
      </c>
      <c r="H82" s="33" t="str">
        <f t="shared" si="6"/>
        <v/>
      </c>
      <c r="I82" s="31" t="str">
        <f t="shared" si="7"/>
        <v/>
      </c>
    </row>
    <row r="83" spans="1:9" x14ac:dyDescent="0.25">
      <c r="A83" s="31" t="str">
        <f>IF(A82="","",IF(A82+1&gt;in_Term,"",A82+1))</f>
        <v/>
      </c>
      <c r="B83" s="32" t="str">
        <f>IF($A83="","",EDATE(in_Start,$A83-1))</f>
        <v/>
      </c>
      <c r="C83" s="32" t="str">
        <f>IF($A83="","",EDATE(in_Start,$A83)-1)</f>
        <v/>
      </c>
      <c r="D83" s="32" t="str">
        <f>IF($A83="","",IF(c_Adv=1,B83,C83))</f>
        <v/>
      </c>
      <c r="E83" s="33" t="str">
        <f t="shared" si="8"/>
        <v/>
      </c>
      <c r="F83" s="33" t="str">
        <f>IF($A83="","",IF(c_Adv=1,(E83-G83)*c_Rate,E83*c_Rate))</f>
        <v/>
      </c>
      <c r="G83" s="33" t="str">
        <f>IF($A83="","",IF(AND(c_Adv=1,$A83=1),0,in_Pmt))</f>
        <v/>
      </c>
      <c r="H83" s="33" t="str">
        <f t="shared" si="6"/>
        <v/>
      </c>
      <c r="I83" s="31" t="str">
        <f t="shared" si="7"/>
        <v/>
      </c>
    </row>
    <row r="84" spans="1:9" x14ac:dyDescent="0.25">
      <c r="A84" s="31" t="str">
        <f>IF(A83="","",IF(A83+1&gt;in_Term,"",A83+1))</f>
        <v/>
      </c>
      <c r="B84" s="32" t="str">
        <f>IF($A84="","",EDATE(in_Start,$A84-1))</f>
        <v/>
      </c>
      <c r="C84" s="32" t="str">
        <f>IF($A84="","",EDATE(in_Start,$A84)-1)</f>
        <v/>
      </c>
      <c r="D84" s="32" t="str">
        <f>IF($A84="","",IF(c_Adv=1,B84,C84))</f>
        <v/>
      </c>
      <c r="E84" s="33" t="str">
        <f t="shared" si="8"/>
        <v/>
      </c>
      <c r="F84" s="33" t="str">
        <f>IF($A84="","",IF(c_Adv=1,(E84-G84)*c_Rate,E84*c_Rate))</f>
        <v/>
      </c>
      <c r="G84" s="33" t="str">
        <f>IF($A84="","",IF(AND(c_Adv=1,$A84=1),0,in_Pmt))</f>
        <v/>
      </c>
      <c r="H84" s="33" t="str">
        <f t="shared" si="6"/>
        <v/>
      </c>
      <c r="I84" s="31" t="str">
        <f t="shared" si="7"/>
        <v/>
      </c>
    </row>
    <row r="85" spans="1:9" x14ac:dyDescent="0.25">
      <c r="A85" s="31" t="str">
        <f>IF(A84="","",IF(A84+1&gt;in_Term,"",A84+1))</f>
        <v/>
      </c>
      <c r="B85" s="32" t="str">
        <f>IF($A85="","",EDATE(in_Start,$A85-1))</f>
        <v/>
      </c>
      <c r="C85" s="32" t="str">
        <f>IF($A85="","",EDATE(in_Start,$A85)-1)</f>
        <v/>
      </c>
      <c r="D85" s="32" t="str">
        <f>IF($A85="","",IF(c_Adv=1,B85,C85))</f>
        <v/>
      </c>
      <c r="E85" s="33" t="str">
        <f t="shared" si="8"/>
        <v/>
      </c>
      <c r="F85" s="33" t="str">
        <f>IF($A85="","",IF(c_Adv=1,(E85-G85)*c_Rate,E85*c_Rate))</f>
        <v/>
      </c>
      <c r="G85" s="33" t="str">
        <f>IF($A85="","",IF(AND(c_Adv=1,$A85=1),0,in_Pmt))</f>
        <v/>
      </c>
      <c r="H85" s="33" t="str">
        <f t="shared" si="6"/>
        <v/>
      </c>
      <c r="I85" s="31" t="str">
        <f t="shared" si="7"/>
        <v/>
      </c>
    </row>
    <row r="86" spans="1:9" x14ac:dyDescent="0.25">
      <c r="A86" s="31" t="str">
        <f>IF(A85="","",IF(A85+1&gt;in_Term,"",A85+1))</f>
        <v/>
      </c>
      <c r="B86" s="32" t="str">
        <f>IF($A86="","",EDATE(in_Start,$A86-1))</f>
        <v/>
      </c>
      <c r="C86" s="32" t="str">
        <f>IF($A86="","",EDATE(in_Start,$A86)-1)</f>
        <v/>
      </c>
      <c r="D86" s="32" t="str">
        <f>IF($A86="","",IF(c_Adv=1,B86,C86))</f>
        <v/>
      </c>
      <c r="E86" s="33" t="str">
        <f t="shared" si="8"/>
        <v/>
      </c>
      <c r="F86" s="33" t="str">
        <f>IF($A86="","",IF(c_Adv=1,(E86-G86)*c_Rate,E86*c_Rate))</f>
        <v/>
      </c>
      <c r="G86" s="33" t="str">
        <f>IF($A86="","",IF(AND(c_Adv=1,$A86=1),0,in_Pmt))</f>
        <v/>
      </c>
      <c r="H86" s="33" t="str">
        <f t="shared" si="6"/>
        <v/>
      </c>
      <c r="I86" s="31" t="str">
        <f t="shared" si="7"/>
        <v/>
      </c>
    </row>
    <row r="87" spans="1:9" x14ac:dyDescent="0.25">
      <c r="A87" s="31" t="str">
        <f>IF(A86="","",IF(A86+1&gt;in_Term,"",A86+1))</f>
        <v/>
      </c>
      <c r="B87" s="32" t="str">
        <f>IF($A87="","",EDATE(in_Start,$A87-1))</f>
        <v/>
      </c>
      <c r="C87" s="32" t="str">
        <f>IF($A87="","",EDATE(in_Start,$A87)-1)</f>
        <v/>
      </c>
      <c r="D87" s="32" t="str">
        <f>IF($A87="","",IF(c_Adv=1,B87,C87))</f>
        <v/>
      </c>
      <c r="E87" s="33" t="str">
        <f t="shared" si="8"/>
        <v/>
      </c>
      <c r="F87" s="33" t="str">
        <f>IF($A87="","",IF(c_Adv=1,(E87-G87)*c_Rate,E87*c_Rate))</f>
        <v/>
      </c>
      <c r="G87" s="33" t="str">
        <f>IF($A87="","",IF(AND(c_Adv=1,$A87=1),0,in_Pmt))</f>
        <v/>
      </c>
      <c r="H87" s="33" t="str">
        <f t="shared" si="6"/>
        <v/>
      </c>
      <c r="I87" s="31" t="str">
        <f t="shared" si="7"/>
        <v/>
      </c>
    </row>
    <row r="88" spans="1:9" x14ac:dyDescent="0.25">
      <c r="A88" s="31" t="str">
        <f>IF(A87="","",IF(A87+1&gt;in_Term,"",A87+1))</f>
        <v/>
      </c>
      <c r="B88" s="32" t="str">
        <f>IF($A88="","",EDATE(in_Start,$A88-1))</f>
        <v/>
      </c>
      <c r="C88" s="32" t="str">
        <f>IF($A88="","",EDATE(in_Start,$A88)-1)</f>
        <v/>
      </c>
      <c r="D88" s="32" t="str">
        <f>IF($A88="","",IF(c_Adv=1,B88,C88))</f>
        <v/>
      </c>
      <c r="E88" s="33" t="str">
        <f t="shared" si="8"/>
        <v/>
      </c>
      <c r="F88" s="33" t="str">
        <f>IF($A88="","",IF(c_Adv=1,(E88-G88)*c_Rate,E88*c_Rate))</f>
        <v/>
      </c>
      <c r="G88" s="33" t="str">
        <f>IF($A88="","",IF(AND(c_Adv=1,$A88=1),0,in_Pmt))</f>
        <v/>
      </c>
      <c r="H88" s="33" t="str">
        <f t="shared" si="6"/>
        <v/>
      </c>
      <c r="I88" s="31" t="str">
        <f t="shared" si="7"/>
        <v/>
      </c>
    </row>
    <row r="89" spans="1:9" x14ac:dyDescent="0.25">
      <c r="A89" s="31" t="str">
        <f>IF(A88="","",IF(A88+1&gt;in_Term,"",A88+1))</f>
        <v/>
      </c>
      <c r="B89" s="32" t="str">
        <f>IF($A89="","",EDATE(in_Start,$A89-1))</f>
        <v/>
      </c>
      <c r="C89" s="32" t="str">
        <f>IF($A89="","",EDATE(in_Start,$A89)-1)</f>
        <v/>
      </c>
      <c r="D89" s="32" t="str">
        <f>IF($A89="","",IF(c_Adv=1,B89,C89))</f>
        <v/>
      </c>
      <c r="E89" s="33" t="str">
        <f t="shared" si="8"/>
        <v/>
      </c>
      <c r="F89" s="33" t="str">
        <f>IF($A89="","",IF(c_Adv=1,(E89-G89)*c_Rate,E89*c_Rate))</f>
        <v/>
      </c>
      <c r="G89" s="33" t="str">
        <f>IF($A89="","",IF(AND(c_Adv=1,$A89=1),0,in_Pmt))</f>
        <v/>
      </c>
      <c r="H89" s="33" t="str">
        <f t="shared" si="6"/>
        <v/>
      </c>
      <c r="I89" s="31" t="str">
        <f t="shared" si="7"/>
        <v/>
      </c>
    </row>
    <row r="90" spans="1:9" x14ac:dyDescent="0.25">
      <c r="A90" s="31" t="str">
        <f>IF(A89="","",IF(A89+1&gt;in_Term,"",A89+1))</f>
        <v/>
      </c>
      <c r="B90" s="32" t="str">
        <f>IF($A90="","",EDATE(in_Start,$A90-1))</f>
        <v/>
      </c>
      <c r="C90" s="32" t="str">
        <f>IF($A90="","",EDATE(in_Start,$A90)-1)</f>
        <v/>
      </c>
      <c r="D90" s="32" t="str">
        <f>IF($A90="","",IF(c_Adv=1,B90,C90))</f>
        <v/>
      </c>
      <c r="E90" s="33" t="str">
        <f t="shared" si="8"/>
        <v/>
      </c>
      <c r="F90" s="33" t="str">
        <f>IF($A90="","",IF(c_Adv=1,(E90-G90)*c_Rate,E90*c_Rate))</f>
        <v/>
      </c>
      <c r="G90" s="33" t="str">
        <f>IF($A90="","",IF(AND(c_Adv=1,$A90=1),0,in_Pmt))</f>
        <v/>
      </c>
      <c r="H90" s="33" t="str">
        <f t="shared" si="6"/>
        <v/>
      </c>
      <c r="I90" s="31" t="str">
        <f t="shared" si="7"/>
        <v/>
      </c>
    </row>
    <row r="91" spans="1:9" x14ac:dyDescent="0.25">
      <c r="A91" s="31" t="str">
        <f>IF(A90="","",IF(A90+1&gt;in_Term,"",A90+1))</f>
        <v/>
      </c>
      <c r="B91" s="32" t="str">
        <f>IF($A91="","",EDATE(in_Start,$A91-1))</f>
        <v/>
      </c>
      <c r="C91" s="32" t="str">
        <f>IF($A91="","",EDATE(in_Start,$A91)-1)</f>
        <v/>
      </c>
      <c r="D91" s="32" t="str">
        <f>IF($A91="","",IF(c_Adv=1,B91,C91))</f>
        <v/>
      </c>
      <c r="E91" s="33" t="str">
        <f t="shared" si="8"/>
        <v/>
      </c>
      <c r="F91" s="33" t="str">
        <f>IF($A91="","",IF(c_Adv=1,(E91-G91)*c_Rate,E91*c_Rate))</f>
        <v/>
      </c>
      <c r="G91" s="33" t="str">
        <f>IF($A91="","",IF(AND(c_Adv=1,$A91=1),0,in_Pmt))</f>
        <v/>
      </c>
      <c r="H91" s="33" t="str">
        <f t="shared" si="6"/>
        <v/>
      </c>
      <c r="I91" s="31" t="str">
        <f t="shared" si="7"/>
        <v/>
      </c>
    </row>
    <row r="92" spans="1:9" x14ac:dyDescent="0.25">
      <c r="A92" s="31" t="str">
        <f>IF(A91="","",IF(A91+1&gt;in_Term,"",A91+1))</f>
        <v/>
      </c>
      <c r="B92" s="32" t="str">
        <f>IF($A92="","",EDATE(in_Start,$A92-1))</f>
        <v/>
      </c>
      <c r="C92" s="32" t="str">
        <f>IF($A92="","",EDATE(in_Start,$A92)-1)</f>
        <v/>
      </c>
      <c r="D92" s="32" t="str">
        <f>IF($A92="","",IF(c_Adv=1,B92,C92))</f>
        <v/>
      </c>
      <c r="E92" s="33" t="str">
        <f t="shared" si="8"/>
        <v/>
      </c>
      <c r="F92" s="33" t="str">
        <f>IF($A92="","",IF(c_Adv=1,(E92-G92)*c_Rate,E92*c_Rate))</f>
        <v/>
      </c>
      <c r="G92" s="33" t="str">
        <f>IF($A92="","",IF(AND(c_Adv=1,$A92=1),0,in_Pmt))</f>
        <v/>
      </c>
      <c r="H92" s="33" t="str">
        <f t="shared" si="6"/>
        <v/>
      </c>
      <c r="I92" s="31" t="str">
        <f t="shared" si="7"/>
        <v/>
      </c>
    </row>
    <row r="93" spans="1:9" x14ac:dyDescent="0.25">
      <c r="A93" s="31" t="str">
        <f>IF(A92="","",IF(A92+1&gt;in_Term,"",A92+1))</f>
        <v/>
      </c>
      <c r="B93" s="32" t="str">
        <f>IF($A93="","",EDATE(in_Start,$A93-1))</f>
        <v/>
      </c>
      <c r="C93" s="32" t="str">
        <f>IF($A93="","",EDATE(in_Start,$A93)-1)</f>
        <v/>
      </c>
      <c r="D93" s="32" t="str">
        <f>IF($A93="","",IF(c_Adv=1,B93,C93))</f>
        <v/>
      </c>
      <c r="E93" s="33" t="str">
        <f t="shared" si="8"/>
        <v/>
      </c>
      <c r="F93" s="33" t="str">
        <f>IF($A93="","",IF(c_Adv=1,(E93-G93)*c_Rate,E93*c_Rate))</f>
        <v/>
      </c>
      <c r="G93" s="33" t="str">
        <f>IF($A93="","",IF(AND(c_Adv=1,$A93=1),0,in_Pmt))</f>
        <v/>
      </c>
      <c r="H93" s="33" t="str">
        <f t="shared" si="6"/>
        <v/>
      </c>
      <c r="I93" s="31" t="str">
        <f t="shared" si="7"/>
        <v/>
      </c>
    </row>
    <row r="94" spans="1:9" x14ac:dyDescent="0.25">
      <c r="A94" s="31" t="str">
        <f>IF(A93="","",IF(A93+1&gt;in_Term,"",A93+1))</f>
        <v/>
      </c>
      <c r="B94" s="32" t="str">
        <f>IF($A94="","",EDATE(in_Start,$A94-1))</f>
        <v/>
      </c>
      <c r="C94" s="32" t="str">
        <f>IF($A94="","",EDATE(in_Start,$A94)-1)</f>
        <v/>
      </c>
      <c r="D94" s="32" t="str">
        <f>IF($A94="","",IF(c_Adv=1,B94,C94))</f>
        <v/>
      </c>
      <c r="E94" s="33" t="str">
        <f t="shared" si="8"/>
        <v/>
      </c>
      <c r="F94" s="33" t="str">
        <f>IF($A94="","",IF(c_Adv=1,(E94-G94)*c_Rate,E94*c_Rate))</f>
        <v/>
      </c>
      <c r="G94" s="33" t="str">
        <f>IF($A94="","",IF(AND(c_Adv=1,$A94=1),0,in_Pmt))</f>
        <v/>
      </c>
      <c r="H94" s="33" t="str">
        <f t="shared" si="6"/>
        <v/>
      </c>
      <c r="I94" s="31" t="str">
        <f t="shared" si="7"/>
        <v/>
      </c>
    </row>
    <row r="95" spans="1:9" x14ac:dyDescent="0.25">
      <c r="A95" s="31" t="str">
        <f>IF(A94="","",IF(A94+1&gt;in_Term,"",A94+1))</f>
        <v/>
      </c>
      <c r="B95" s="32" t="str">
        <f>IF($A95="","",EDATE(in_Start,$A95-1))</f>
        <v/>
      </c>
      <c r="C95" s="32" t="str">
        <f>IF($A95="","",EDATE(in_Start,$A95)-1)</f>
        <v/>
      </c>
      <c r="D95" s="32" t="str">
        <f>IF($A95="","",IF(c_Adv=1,B95,C95))</f>
        <v/>
      </c>
      <c r="E95" s="33" t="str">
        <f t="shared" si="8"/>
        <v/>
      </c>
      <c r="F95" s="33" t="str">
        <f>IF($A95="","",IF(c_Adv=1,(E95-G95)*c_Rate,E95*c_Rate))</f>
        <v/>
      </c>
      <c r="G95" s="33" t="str">
        <f>IF($A95="","",IF(AND(c_Adv=1,$A95=1),0,in_Pmt))</f>
        <v/>
      </c>
      <c r="H95" s="33" t="str">
        <f t="shared" si="6"/>
        <v/>
      </c>
      <c r="I95" s="31" t="str">
        <f t="shared" si="7"/>
        <v/>
      </c>
    </row>
    <row r="96" spans="1:9" x14ac:dyDescent="0.25">
      <c r="A96" s="31" t="str">
        <f>IF(A95="","",IF(A95+1&gt;in_Term,"",A95+1))</f>
        <v/>
      </c>
      <c r="B96" s="32" t="str">
        <f>IF($A96="","",EDATE(in_Start,$A96-1))</f>
        <v/>
      </c>
      <c r="C96" s="32" t="str">
        <f>IF($A96="","",EDATE(in_Start,$A96)-1)</f>
        <v/>
      </c>
      <c r="D96" s="32" t="str">
        <f>IF($A96="","",IF(c_Adv=1,B96,C96))</f>
        <v/>
      </c>
      <c r="E96" s="33" t="str">
        <f t="shared" si="8"/>
        <v/>
      </c>
      <c r="F96" s="33" t="str">
        <f>IF($A96="","",IF(c_Adv=1,(E96-G96)*c_Rate,E96*c_Rate))</f>
        <v/>
      </c>
      <c r="G96" s="33" t="str">
        <f>IF($A96="","",IF(AND(c_Adv=1,$A96=1),0,in_Pmt))</f>
        <v/>
      </c>
      <c r="H96" s="33" t="str">
        <f t="shared" si="6"/>
        <v/>
      </c>
      <c r="I96" s="31" t="str">
        <f t="shared" si="7"/>
        <v/>
      </c>
    </row>
    <row r="97" spans="1:9" x14ac:dyDescent="0.25">
      <c r="A97" s="31" t="str">
        <f>IF(A96="","",IF(A96+1&gt;in_Term,"",A96+1))</f>
        <v/>
      </c>
      <c r="B97" s="32" t="str">
        <f>IF($A97="","",EDATE(in_Start,$A97-1))</f>
        <v/>
      </c>
      <c r="C97" s="32" t="str">
        <f>IF($A97="","",EDATE(in_Start,$A97)-1)</f>
        <v/>
      </c>
      <c r="D97" s="32" t="str">
        <f>IF($A97="","",IF(c_Adv=1,B97,C97))</f>
        <v/>
      </c>
      <c r="E97" s="33" t="str">
        <f t="shared" si="8"/>
        <v/>
      </c>
      <c r="F97" s="33" t="str">
        <f>IF($A97="","",IF(c_Adv=1,(E97-G97)*c_Rate,E97*c_Rate))</f>
        <v/>
      </c>
      <c r="G97" s="33" t="str">
        <f>IF($A97="","",IF(AND(c_Adv=1,$A97=1),0,in_Pmt))</f>
        <v/>
      </c>
      <c r="H97" s="33" t="str">
        <f t="shared" si="6"/>
        <v/>
      </c>
      <c r="I97" s="31" t="str">
        <f t="shared" si="7"/>
        <v/>
      </c>
    </row>
    <row r="98" spans="1:9" x14ac:dyDescent="0.25">
      <c r="A98" s="31" t="str">
        <f>IF(A97="","",IF(A97+1&gt;in_Term,"",A97+1))</f>
        <v/>
      </c>
      <c r="B98" s="32" t="str">
        <f>IF($A98="","",EDATE(in_Start,$A98-1))</f>
        <v/>
      </c>
      <c r="C98" s="32" t="str">
        <f>IF($A98="","",EDATE(in_Start,$A98)-1)</f>
        <v/>
      </c>
      <c r="D98" s="32" t="str">
        <f>IF($A98="","",IF(c_Adv=1,B98,C98))</f>
        <v/>
      </c>
      <c r="E98" s="33" t="str">
        <f t="shared" si="8"/>
        <v/>
      </c>
      <c r="F98" s="33" t="str">
        <f>IF($A98="","",IF(c_Adv=1,(E98-G98)*c_Rate,E98*c_Rate))</f>
        <v/>
      </c>
      <c r="G98" s="33" t="str">
        <f>IF($A98="","",IF(AND(c_Adv=1,$A98=1),0,in_Pmt))</f>
        <v/>
      </c>
      <c r="H98" s="33" t="str">
        <f t="shared" si="6"/>
        <v/>
      </c>
      <c r="I98" s="31" t="str">
        <f t="shared" si="7"/>
        <v/>
      </c>
    </row>
    <row r="99" spans="1:9" x14ac:dyDescent="0.25">
      <c r="A99" s="31" t="str">
        <f>IF(A98="","",IF(A98+1&gt;in_Term,"",A98+1))</f>
        <v/>
      </c>
      <c r="B99" s="32" t="str">
        <f>IF($A99="","",EDATE(in_Start,$A99-1))</f>
        <v/>
      </c>
      <c r="C99" s="32" t="str">
        <f>IF($A99="","",EDATE(in_Start,$A99)-1)</f>
        <v/>
      </c>
      <c r="D99" s="32" t="str">
        <f>IF($A99="","",IF(c_Adv=1,B99,C99))</f>
        <v/>
      </c>
      <c r="E99" s="33" t="str">
        <f t="shared" si="8"/>
        <v/>
      </c>
      <c r="F99" s="33" t="str">
        <f>IF($A99="","",IF(c_Adv=1,(E99-G99)*c_Rate,E99*c_Rate))</f>
        <v/>
      </c>
      <c r="G99" s="33" t="str">
        <f>IF($A99="","",IF(AND(c_Adv=1,$A99=1),0,in_Pmt))</f>
        <v/>
      </c>
      <c r="H99" s="33" t="str">
        <f t="shared" si="6"/>
        <v/>
      </c>
      <c r="I99" s="31" t="str">
        <f t="shared" si="7"/>
        <v/>
      </c>
    </row>
    <row r="100" spans="1:9" x14ac:dyDescent="0.25">
      <c r="A100" s="31" t="str">
        <f>IF(A99="","",IF(A99+1&gt;in_Term,"",A99+1))</f>
        <v/>
      </c>
      <c r="B100" s="32" t="str">
        <f>IF($A100="","",EDATE(in_Start,$A100-1))</f>
        <v/>
      </c>
      <c r="C100" s="32" t="str">
        <f>IF($A100="","",EDATE(in_Start,$A100)-1)</f>
        <v/>
      </c>
      <c r="D100" s="32" t="str">
        <f>IF($A100="","",IF(c_Adv=1,B100,C100))</f>
        <v/>
      </c>
      <c r="E100" s="33" t="str">
        <f t="shared" si="8"/>
        <v/>
      </c>
      <c r="F100" s="33" t="str">
        <f>IF($A100="","",IF(c_Adv=1,(E100-G100)*c_Rate,E100*c_Rate))</f>
        <v/>
      </c>
      <c r="G100" s="33" t="str">
        <f>IF($A100="","",IF(AND(c_Adv=1,$A100=1),0,in_Pmt))</f>
        <v/>
      </c>
      <c r="H100" s="33" t="str">
        <f t="shared" si="6"/>
        <v/>
      </c>
      <c r="I100" s="31" t="str">
        <f t="shared" si="7"/>
        <v/>
      </c>
    </row>
    <row r="101" spans="1:9" x14ac:dyDescent="0.25">
      <c r="A101" s="31" t="str">
        <f>IF(A100="","",IF(A100+1&gt;in_Term,"",A100+1))</f>
        <v/>
      </c>
      <c r="B101" s="32" t="str">
        <f>IF($A101="","",EDATE(in_Start,$A101-1))</f>
        <v/>
      </c>
      <c r="C101" s="32" t="str">
        <f>IF($A101="","",EDATE(in_Start,$A101)-1)</f>
        <v/>
      </c>
      <c r="D101" s="32" t="str">
        <f>IF($A101="","",IF(c_Adv=1,B101,C101))</f>
        <v/>
      </c>
      <c r="E101" s="33" t="str">
        <f t="shared" si="8"/>
        <v/>
      </c>
      <c r="F101" s="33" t="str">
        <f>IF($A101="","",IF(c_Adv=1,(E101-G101)*c_Rate,E101*c_Rate))</f>
        <v/>
      </c>
      <c r="G101" s="33" t="str">
        <f>IF($A101="","",IF(AND(c_Adv=1,$A101=1),0,in_Pmt))</f>
        <v/>
      </c>
      <c r="H101" s="33" t="str">
        <f t="shared" si="6"/>
        <v/>
      </c>
      <c r="I101" s="31" t="str">
        <f t="shared" si="7"/>
        <v/>
      </c>
    </row>
    <row r="102" spans="1:9" x14ac:dyDescent="0.25">
      <c r="A102" s="31" t="str">
        <f>IF(A101="","",IF(A101+1&gt;in_Term,"",A101+1))</f>
        <v/>
      </c>
      <c r="B102" s="32" t="str">
        <f>IF($A102="","",EDATE(in_Start,$A102-1))</f>
        <v/>
      </c>
      <c r="C102" s="32" t="str">
        <f>IF($A102="","",EDATE(in_Start,$A102)-1)</f>
        <v/>
      </c>
      <c r="D102" s="32" t="str">
        <f>IF($A102="","",IF(c_Adv=1,B102,C102))</f>
        <v/>
      </c>
      <c r="E102" s="33" t="str">
        <f t="shared" si="8"/>
        <v/>
      </c>
      <c r="F102" s="33" t="str">
        <f>IF($A102="","",IF(c_Adv=1,(E102-G102)*c_Rate,E102*c_Rate))</f>
        <v/>
      </c>
      <c r="G102" s="33" t="str">
        <f>IF($A102="","",IF(AND(c_Adv=1,$A102=1),0,in_Pmt))</f>
        <v/>
      </c>
      <c r="H102" s="33" t="str">
        <f t="shared" si="6"/>
        <v/>
      </c>
      <c r="I102" s="31" t="str">
        <f t="shared" si="7"/>
        <v/>
      </c>
    </row>
    <row r="103" spans="1:9" x14ac:dyDescent="0.25">
      <c r="A103" s="31" t="str">
        <f>IF(A102="","",IF(A102+1&gt;in_Term,"",A102+1))</f>
        <v/>
      </c>
      <c r="B103" s="32" t="str">
        <f>IF($A103="","",EDATE(in_Start,$A103-1))</f>
        <v/>
      </c>
      <c r="C103" s="32" t="str">
        <f>IF($A103="","",EDATE(in_Start,$A103)-1)</f>
        <v/>
      </c>
      <c r="D103" s="32" t="str">
        <f>IF($A103="","",IF(c_Adv=1,B103,C103))</f>
        <v/>
      </c>
      <c r="E103" s="33" t="str">
        <f t="shared" si="8"/>
        <v/>
      </c>
      <c r="F103" s="33" t="str">
        <f>IF($A103="","",IF(c_Adv=1,(E103-G103)*c_Rate,E103*c_Rate))</f>
        <v/>
      </c>
      <c r="G103" s="33" t="str">
        <f>IF($A103="","",IF(AND(c_Adv=1,$A103=1),0,in_Pmt))</f>
        <v/>
      </c>
      <c r="H103" s="33" t="str">
        <f t="shared" si="6"/>
        <v/>
      </c>
      <c r="I103" s="31" t="str">
        <f t="shared" si="7"/>
        <v/>
      </c>
    </row>
    <row r="104" spans="1:9" x14ac:dyDescent="0.25">
      <c r="A104" s="31" t="str">
        <f>IF(A103="","",IF(A103+1&gt;in_Term,"",A103+1))</f>
        <v/>
      </c>
      <c r="B104" s="32" t="str">
        <f>IF($A104="","",EDATE(in_Start,$A104-1))</f>
        <v/>
      </c>
      <c r="C104" s="32" t="str">
        <f>IF($A104="","",EDATE(in_Start,$A104)-1)</f>
        <v/>
      </c>
      <c r="D104" s="32" t="str">
        <f>IF($A104="","",IF(c_Adv=1,B104,C104))</f>
        <v/>
      </c>
      <c r="E104" s="33" t="str">
        <f t="shared" si="8"/>
        <v/>
      </c>
      <c r="F104" s="33" t="str">
        <f>IF($A104="","",IF(c_Adv=1,(E104-G104)*c_Rate,E104*c_Rate))</f>
        <v/>
      </c>
      <c r="G104" s="33" t="str">
        <f>IF($A104="","",IF(AND(c_Adv=1,$A104=1),0,in_Pmt))</f>
        <v/>
      </c>
      <c r="H104" s="33" t="str">
        <f t="shared" ref="H104:H135" si="9">IF($A104="","",E104+F104-G104)</f>
        <v/>
      </c>
      <c r="I104" s="31" t="str">
        <f t="shared" ref="I104:I127" si="10">IF($A104="","",INT(($A104-1)/12)+1)</f>
        <v/>
      </c>
    </row>
    <row r="105" spans="1:9" x14ac:dyDescent="0.25">
      <c r="A105" s="31" t="str">
        <f>IF(A104="","",IF(A104+1&gt;in_Term,"",A104+1))</f>
        <v/>
      </c>
      <c r="B105" s="32" t="str">
        <f>IF($A105="","",EDATE(in_Start,$A105-1))</f>
        <v/>
      </c>
      <c r="C105" s="32" t="str">
        <f>IF($A105="","",EDATE(in_Start,$A105)-1)</f>
        <v/>
      </c>
      <c r="D105" s="32" t="str">
        <f>IF($A105="","",IF(c_Adv=1,B105,C105))</f>
        <v/>
      </c>
      <c r="E105" s="33" t="str">
        <f t="shared" ref="E105:E127" si="11">IF($A105="","",H104)</f>
        <v/>
      </c>
      <c r="F105" s="33" t="str">
        <f>IF($A105="","",IF(c_Adv=1,(E105-G105)*c_Rate,E105*c_Rate))</f>
        <v/>
      </c>
      <c r="G105" s="33" t="str">
        <f>IF($A105="","",IF(AND(c_Adv=1,$A105=1),0,in_Pmt))</f>
        <v/>
      </c>
      <c r="H105" s="33" t="str">
        <f t="shared" si="9"/>
        <v/>
      </c>
      <c r="I105" s="31" t="str">
        <f t="shared" si="10"/>
        <v/>
      </c>
    </row>
    <row r="106" spans="1:9" x14ac:dyDescent="0.25">
      <c r="A106" s="31" t="str">
        <f>IF(A105="","",IF(A105+1&gt;in_Term,"",A105+1))</f>
        <v/>
      </c>
      <c r="B106" s="32" t="str">
        <f>IF($A106="","",EDATE(in_Start,$A106-1))</f>
        <v/>
      </c>
      <c r="C106" s="32" t="str">
        <f>IF($A106="","",EDATE(in_Start,$A106)-1)</f>
        <v/>
      </c>
      <c r="D106" s="32" t="str">
        <f>IF($A106="","",IF(c_Adv=1,B106,C106))</f>
        <v/>
      </c>
      <c r="E106" s="33" t="str">
        <f t="shared" si="11"/>
        <v/>
      </c>
      <c r="F106" s="33" t="str">
        <f>IF($A106="","",IF(c_Adv=1,(E106-G106)*c_Rate,E106*c_Rate))</f>
        <v/>
      </c>
      <c r="G106" s="33" t="str">
        <f>IF($A106="","",IF(AND(c_Adv=1,$A106=1),0,in_Pmt))</f>
        <v/>
      </c>
      <c r="H106" s="33" t="str">
        <f t="shared" si="9"/>
        <v/>
      </c>
      <c r="I106" s="31" t="str">
        <f t="shared" si="10"/>
        <v/>
      </c>
    </row>
    <row r="107" spans="1:9" x14ac:dyDescent="0.25">
      <c r="A107" s="31" t="str">
        <f>IF(A106="","",IF(A106+1&gt;in_Term,"",A106+1))</f>
        <v/>
      </c>
      <c r="B107" s="32" t="str">
        <f>IF($A107="","",EDATE(in_Start,$A107-1))</f>
        <v/>
      </c>
      <c r="C107" s="32" t="str">
        <f>IF($A107="","",EDATE(in_Start,$A107)-1)</f>
        <v/>
      </c>
      <c r="D107" s="32" t="str">
        <f>IF($A107="","",IF(c_Adv=1,B107,C107))</f>
        <v/>
      </c>
      <c r="E107" s="33" t="str">
        <f t="shared" si="11"/>
        <v/>
      </c>
      <c r="F107" s="33" t="str">
        <f>IF($A107="","",IF(c_Adv=1,(E107-G107)*c_Rate,E107*c_Rate))</f>
        <v/>
      </c>
      <c r="G107" s="33" t="str">
        <f>IF($A107="","",IF(AND(c_Adv=1,$A107=1),0,in_Pmt))</f>
        <v/>
      </c>
      <c r="H107" s="33" t="str">
        <f t="shared" si="9"/>
        <v/>
      </c>
      <c r="I107" s="31" t="str">
        <f t="shared" si="10"/>
        <v/>
      </c>
    </row>
    <row r="108" spans="1:9" x14ac:dyDescent="0.25">
      <c r="A108" s="31" t="str">
        <f>IF(A107="","",IF(A107+1&gt;in_Term,"",A107+1))</f>
        <v/>
      </c>
      <c r="B108" s="32" t="str">
        <f>IF($A108="","",EDATE(in_Start,$A108-1))</f>
        <v/>
      </c>
      <c r="C108" s="32" t="str">
        <f>IF($A108="","",EDATE(in_Start,$A108)-1)</f>
        <v/>
      </c>
      <c r="D108" s="32" t="str">
        <f>IF($A108="","",IF(c_Adv=1,B108,C108))</f>
        <v/>
      </c>
      <c r="E108" s="33" t="str">
        <f t="shared" si="11"/>
        <v/>
      </c>
      <c r="F108" s="33" t="str">
        <f>IF($A108="","",IF(c_Adv=1,(E108-G108)*c_Rate,E108*c_Rate))</f>
        <v/>
      </c>
      <c r="G108" s="33" t="str">
        <f>IF($A108="","",IF(AND(c_Adv=1,$A108=1),0,in_Pmt))</f>
        <v/>
      </c>
      <c r="H108" s="33" t="str">
        <f t="shared" si="9"/>
        <v/>
      </c>
      <c r="I108" s="31" t="str">
        <f t="shared" si="10"/>
        <v/>
      </c>
    </row>
    <row r="109" spans="1:9" x14ac:dyDescent="0.25">
      <c r="A109" s="31" t="str">
        <f>IF(A108="","",IF(A108+1&gt;in_Term,"",A108+1))</f>
        <v/>
      </c>
      <c r="B109" s="32" t="str">
        <f>IF($A109="","",EDATE(in_Start,$A109-1))</f>
        <v/>
      </c>
      <c r="C109" s="32" t="str">
        <f>IF($A109="","",EDATE(in_Start,$A109)-1)</f>
        <v/>
      </c>
      <c r="D109" s="32" t="str">
        <f>IF($A109="","",IF(c_Adv=1,B109,C109))</f>
        <v/>
      </c>
      <c r="E109" s="33" t="str">
        <f t="shared" si="11"/>
        <v/>
      </c>
      <c r="F109" s="33" t="str">
        <f>IF($A109="","",IF(c_Adv=1,(E109-G109)*c_Rate,E109*c_Rate))</f>
        <v/>
      </c>
      <c r="G109" s="33" t="str">
        <f>IF($A109="","",IF(AND(c_Adv=1,$A109=1),0,in_Pmt))</f>
        <v/>
      </c>
      <c r="H109" s="33" t="str">
        <f t="shared" si="9"/>
        <v/>
      </c>
      <c r="I109" s="31" t="str">
        <f t="shared" si="10"/>
        <v/>
      </c>
    </row>
    <row r="110" spans="1:9" x14ac:dyDescent="0.25">
      <c r="A110" s="31" t="str">
        <f>IF(A109="","",IF(A109+1&gt;in_Term,"",A109+1))</f>
        <v/>
      </c>
      <c r="B110" s="32" t="str">
        <f>IF($A110="","",EDATE(in_Start,$A110-1))</f>
        <v/>
      </c>
      <c r="C110" s="32" t="str">
        <f>IF($A110="","",EDATE(in_Start,$A110)-1)</f>
        <v/>
      </c>
      <c r="D110" s="32" t="str">
        <f>IF($A110="","",IF(c_Adv=1,B110,C110))</f>
        <v/>
      </c>
      <c r="E110" s="33" t="str">
        <f t="shared" si="11"/>
        <v/>
      </c>
      <c r="F110" s="33" t="str">
        <f>IF($A110="","",IF(c_Adv=1,(E110-G110)*c_Rate,E110*c_Rate))</f>
        <v/>
      </c>
      <c r="G110" s="33" t="str">
        <f>IF($A110="","",IF(AND(c_Adv=1,$A110=1),0,in_Pmt))</f>
        <v/>
      </c>
      <c r="H110" s="33" t="str">
        <f t="shared" si="9"/>
        <v/>
      </c>
      <c r="I110" s="31" t="str">
        <f t="shared" si="10"/>
        <v/>
      </c>
    </row>
    <row r="111" spans="1:9" x14ac:dyDescent="0.25">
      <c r="A111" s="31" t="str">
        <f>IF(A110="","",IF(A110+1&gt;in_Term,"",A110+1))</f>
        <v/>
      </c>
      <c r="B111" s="32" t="str">
        <f>IF($A111="","",EDATE(in_Start,$A111-1))</f>
        <v/>
      </c>
      <c r="C111" s="32" t="str">
        <f>IF($A111="","",EDATE(in_Start,$A111)-1)</f>
        <v/>
      </c>
      <c r="D111" s="32" t="str">
        <f>IF($A111="","",IF(c_Adv=1,B111,C111))</f>
        <v/>
      </c>
      <c r="E111" s="33" t="str">
        <f t="shared" si="11"/>
        <v/>
      </c>
      <c r="F111" s="33" t="str">
        <f>IF($A111="","",IF(c_Adv=1,(E111-G111)*c_Rate,E111*c_Rate))</f>
        <v/>
      </c>
      <c r="G111" s="33" t="str">
        <f>IF($A111="","",IF(AND(c_Adv=1,$A111=1),0,in_Pmt))</f>
        <v/>
      </c>
      <c r="H111" s="33" t="str">
        <f t="shared" si="9"/>
        <v/>
      </c>
      <c r="I111" s="31" t="str">
        <f t="shared" si="10"/>
        <v/>
      </c>
    </row>
    <row r="112" spans="1:9" x14ac:dyDescent="0.25">
      <c r="A112" s="31" t="str">
        <f>IF(A111="","",IF(A111+1&gt;in_Term,"",A111+1))</f>
        <v/>
      </c>
      <c r="B112" s="32" t="str">
        <f>IF($A112="","",EDATE(in_Start,$A112-1))</f>
        <v/>
      </c>
      <c r="C112" s="32" t="str">
        <f>IF($A112="","",EDATE(in_Start,$A112)-1)</f>
        <v/>
      </c>
      <c r="D112" s="32" t="str">
        <f>IF($A112="","",IF(c_Adv=1,B112,C112))</f>
        <v/>
      </c>
      <c r="E112" s="33" t="str">
        <f t="shared" si="11"/>
        <v/>
      </c>
      <c r="F112" s="33" t="str">
        <f>IF($A112="","",IF(c_Adv=1,(E112-G112)*c_Rate,E112*c_Rate))</f>
        <v/>
      </c>
      <c r="G112" s="33" t="str">
        <f>IF($A112="","",IF(AND(c_Adv=1,$A112=1),0,in_Pmt))</f>
        <v/>
      </c>
      <c r="H112" s="33" t="str">
        <f t="shared" si="9"/>
        <v/>
      </c>
      <c r="I112" s="31" t="str">
        <f t="shared" si="10"/>
        <v/>
      </c>
    </row>
    <row r="113" spans="1:9" x14ac:dyDescent="0.25">
      <c r="A113" s="31" t="str">
        <f>IF(A112="","",IF(A112+1&gt;in_Term,"",A112+1))</f>
        <v/>
      </c>
      <c r="B113" s="32" t="str">
        <f>IF($A113="","",EDATE(in_Start,$A113-1))</f>
        <v/>
      </c>
      <c r="C113" s="32" t="str">
        <f>IF($A113="","",EDATE(in_Start,$A113)-1)</f>
        <v/>
      </c>
      <c r="D113" s="32" t="str">
        <f>IF($A113="","",IF(c_Adv=1,B113,C113))</f>
        <v/>
      </c>
      <c r="E113" s="33" t="str">
        <f t="shared" si="11"/>
        <v/>
      </c>
      <c r="F113" s="33" t="str">
        <f>IF($A113="","",IF(c_Adv=1,(E113-G113)*c_Rate,E113*c_Rate))</f>
        <v/>
      </c>
      <c r="G113" s="33" t="str">
        <f>IF($A113="","",IF(AND(c_Adv=1,$A113=1),0,in_Pmt))</f>
        <v/>
      </c>
      <c r="H113" s="33" t="str">
        <f t="shared" si="9"/>
        <v/>
      </c>
      <c r="I113" s="31" t="str">
        <f t="shared" si="10"/>
        <v/>
      </c>
    </row>
    <row r="114" spans="1:9" x14ac:dyDescent="0.25">
      <c r="A114" s="31" t="str">
        <f>IF(A113="","",IF(A113+1&gt;in_Term,"",A113+1))</f>
        <v/>
      </c>
      <c r="B114" s="32" t="str">
        <f>IF($A114="","",EDATE(in_Start,$A114-1))</f>
        <v/>
      </c>
      <c r="C114" s="32" t="str">
        <f>IF($A114="","",EDATE(in_Start,$A114)-1)</f>
        <v/>
      </c>
      <c r="D114" s="32" t="str">
        <f>IF($A114="","",IF(c_Adv=1,B114,C114))</f>
        <v/>
      </c>
      <c r="E114" s="33" t="str">
        <f t="shared" si="11"/>
        <v/>
      </c>
      <c r="F114" s="33" t="str">
        <f>IF($A114="","",IF(c_Adv=1,(E114-G114)*c_Rate,E114*c_Rate))</f>
        <v/>
      </c>
      <c r="G114" s="33" t="str">
        <f>IF($A114="","",IF(AND(c_Adv=1,$A114=1),0,in_Pmt))</f>
        <v/>
      </c>
      <c r="H114" s="33" t="str">
        <f t="shared" si="9"/>
        <v/>
      </c>
      <c r="I114" s="31" t="str">
        <f t="shared" si="10"/>
        <v/>
      </c>
    </row>
    <row r="115" spans="1:9" x14ac:dyDescent="0.25">
      <c r="A115" s="31" t="str">
        <f>IF(A114="","",IF(A114+1&gt;in_Term,"",A114+1))</f>
        <v/>
      </c>
      <c r="B115" s="32" t="str">
        <f>IF($A115="","",EDATE(in_Start,$A115-1))</f>
        <v/>
      </c>
      <c r="C115" s="32" t="str">
        <f>IF($A115="","",EDATE(in_Start,$A115)-1)</f>
        <v/>
      </c>
      <c r="D115" s="32" t="str">
        <f>IF($A115="","",IF(c_Adv=1,B115,C115))</f>
        <v/>
      </c>
      <c r="E115" s="33" t="str">
        <f t="shared" si="11"/>
        <v/>
      </c>
      <c r="F115" s="33" t="str">
        <f>IF($A115="","",IF(c_Adv=1,(E115-G115)*c_Rate,E115*c_Rate))</f>
        <v/>
      </c>
      <c r="G115" s="33" t="str">
        <f>IF($A115="","",IF(AND(c_Adv=1,$A115=1),0,in_Pmt))</f>
        <v/>
      </c>
      <c r="H115" s="33" t="str">
        <f t="shared" si="9"/>
        <v/>
      </c>
      <c r="I115" s="31" t="str">
        <f t="shared" si="10"/>
        <v/>
      </c>
    </row>
    <row r="116" spans="1:9" x14ac:dyDescent="0.25">
      <c r="A116" s="31" t="str">
        <f>IF(A115="","",IF(A115+1&gt;in_Term,"",A115+1))</f>
        <v/>
      </c>
      <c r="B116" s="32" t="str">
        <f>IF($A116="","",EDATE(in_Start,$A116-1))</f>
        <v/>
      </c>
      <c r="C116" s="32" t="str">
        <f>IF($A116="","",EDATE(in_Start,$A116)-1)</f>
        <v/>
      </c>
      <c r="D116" s="32" t="str">
        <f>IF($A116="","",IF(c_Adv=1,B116,C116))</f>
        <v/>
      </c>
      <c r="E116" s="33" t="str">
        <f t="shared" si="11"/>
        <v/>
      </c>
      <c r="F116" s="33" t="str">
        <f>IF($A116="","",IF(c_Adv=1,(E116-G116)*c_Rate,E116*c_Rate))</f>
        <v/>
      </c>
      <c r="G116" s="33" t="str">
        <f>IF($A116="","",IF(AND(c_Adv=1,$A116=1),0,in_Pmt))</f>
        <v/>
      </c>
      <c r="H116" s="33" t="str">
        <f t="shared" si="9"/>
        <v/>
      </c>
      <c r="I116" s="31" t="str">
        <f t="shared" si="10"/>
        <v/>
      </c>
    </row>
    <row r="117" spans="1:9" x14ac:dyDescent="0.25">
      <c r="A117" s="31" t="str">
        <f>IF(A116="","",IF(A116+1&gt;in_Term,"",A116+1))</f>
        <v/>
      </c>
      <c r="B117" s="32" t="str">
        <f>IF($A117="","",EDATE(in_Start,$A117-1))</f>
        <v/>
      </c>
      <c r="C117" s="32" t="str">
        <f>IF($A117="","",EDATE(in_Start,$A117)-1)</f>
        <v/>
      </c>
      <c r="D117" s="32" t="str">
        <f>IF($A117="","",IF(c_Adv=1,B117,C117))</f>
        <v/>
      </c>
      <c r="E117" s="33" t="str">
        <f t="shared" si="11"/>
        <v/>
      </c>
      <c r="F117" s="33" t="str">
        <f>IF($A117="","",IF(c_Adv=1,(E117-G117)*c_Rate,E117*c_Rate))</f>
        <v/>
      </c>
      <c r="G117" s="33" t="str">
        <f>IF($A117="","",IF(AND(c_Adv=1,$A117=1),0,in_Pmt))</f>
        <v/>
      </c>
      <c r="H117" s="33" t="str">
        <f t="shared" si="9"/>
        <v/>
      </c>
      <c r="I117" s="31" t="str">
        <f t="shared" si="10"/>
        <v/>
      </c>
    </row>
    <row r="118" spans="1:9" x14ac:dyDescent="0.25">
      <c r="A118" s="31" t="str">
        <f>IF(A117="","",IF(A117+1&gt;in_Term,"",A117+1))</f>
        <v/>
      </c>
      <c r="B118" s="32" t="str">
        <f>IF($A118="","",EDATE(in_Start,$A118-1))</f>
        <v/>
      </c>
      <c r="C118" s="32" t="str">
        <f>IF($A118="","",EDATE(in_Start,$A118)-1)</f>
        <v/>
      </c>
      <c r="D118" s="32" t="str">
        <f>IF($A118="","",IF(c_Adv=1,B118,C118))</f>
        <v/>
      </c>
      <c r="E118" s="33" t="str">
        <f t="shared" si="11"/>
        <v/>
      </c>
      <c r="F118" s="33" t="str">
        <f>IF($A118="","",IF(c_Adv=1,(E118-G118)*c_Rate,E118*c_Rate))</f>
        <v/>
      </c>
      <c r="G118" s="33" t="str">
        <f>IF($A118="","",IF(AND(c_Adv=1,$A118=1),0,in_Pmt))</f>
        <v/>
      </c>
      <c r="H118" s="33" t="str">
        <f t="shared" si="9"/>
        <v/>
      </c>
      <c r="I118" s="31" t="str">
        <f t="shared" si="10"/>
        <v/>
      </c>
    </row>
    <row r="119" spans="1:9" x14ac:dyDescent="0.25">
      <c r="A119" s="31" t="str">
        <f>IF(A118="","",IF(A118+1&gt;in_Term,"",A118+1))</f>
        <v/>
      </c>
      <c r="B119" s="32" t="str">
        <f>IF($A119="","",EDATE(in_Start,$A119-1))</f>
        <v/>
      </c>
      <c r="C119" s="32" t="str">
        <f>IF($A119="","",EDATE(in_Start,$A119)-1)</f>
        <v/>
      </c>
      <c r="D119" s="32" t="str">
        <f>IF($A119="","",IF(c_Adv=1,B119,C119))</f>
        <v/>
      </c>
      <c r="E119" s="33" t="str">
        <f t="shared" si="11"/>
        <v/>
      </c>
      <c r="F119" s="33" t="str">
        <f>IF($A119="","",IF(c_Adv=1,(E119-G119)*c_Rate,E119*c_Rate))</f>
        <v/>
      </c>
      <c r="G119" s="33" t="str">
        <f>IF($A119="","",IF(AND(c_Adv=1,$A119=1),0,in_Pmt))</f>
        <v/>
      </c>
      <c r="H119" s="33" t="str">
        <f t="shared" si="9"/>
        <v/>
      </c>
      <c r="I119" s="31" t="str">
        <f t="shared" si="10"/>
        <v/>
      </c>
    </row>
    <row r="120" spans="1:9" x14ac:dyDescent="0.25">
      <c r="A120" s="31" t="str">
        <f>IF(A119="","",IF(A119+1&gt;in_Term,"",A119+1))</f>
        <v/>
      </c>
      <c r="B120" s="32" t="str">
        <f>IF($A120="","",EDATE(in_Start,$A120-1))</f>
        <v/>
      </c>
      <c r="C120" s="32" t="str">
        <f>IF($A120="","",EDATE(in_Start,$A120)-1)</f>
        <v/>
      </c>
      <c r="D120" s="32" t="str">
        <f>IF($A120="","",IF(c_Adv=1,B120,C120))</f>
        <v/>
      </c>
      <c r="E120" s="33" t="str">
        <f t="shared" si="11"/>
        <v/>
      </c>
      <c r="F120" s="33" t="str">
        <f>IF($A120="","",IF(c_Adv=1,(E120-G120)*c_Rate,E120*c_Rate))</f>
        <v/>
      </c>
      <c r="G120" s="33" t="str">
        <f>IF($A120="","",IF(AND(c_Adv=1,$A120=1),0,in_Pmt))</f>
        <v/>
      </c>
      <c r="H120" s="33" t="str">
        <f t="shared" si="9"/>
        <v/>
      </c>
      <c r="I120" s="31" t="str">
        <f t="shared" si="10"/>
        <v/>
      </c>
    </row>
    <row r="121" spans="1:9" x14ac:dyDescent="0.25">
      <c r="A121" s="31" t="str">
        <f>IF(A120="","",IF(A120+1&gt;in_Term,"",A120+1))</f>
        <v/>
      </c>
      <c r="B121" s="32" t="str">
        <f>IF($A121="","",EDATE(in_Start,$A121-1))</f>
        <v/>
      </c>
      <c r="C121" s="32" t="str">
        <f>IF($A121="","",EDATE(in_Start,$A121)-1)</f>
        <v/>
      </c>
      <c r="D121" s="32" t="str">
        <f>IF($A121="","",IF(c_Adv=1,B121,C121))</f>
        <v/>
      </c>
      <c r="E121" s="33" t="str">
        <f t="shared" si="11"/>
        <v/>
      </c>
      <c r="F121" s="33" t="str">
        <f>IF($A121="","",IF(c_Adv=1,(E121-G121)*c_Rate,E121*c_Rate))</f>
        <v/>
      </c>
      <c r="G121" s="33" t="str">
        <f>IF($A121="","",IF(AND(c_Adv=1,$A121=1),0,in_Pmt))</f>
        <v/>
      </c>
      <c r="H121" s="33" t="str">
        <f t="shared" si="9"/>
        <v/>
      </c>
      <c r="I121" s="31" t="str">
        <f t="shared" si="10"/>
        <v/>
      </c>
    </row>
    <row r="122" spans="1:9" x14ac:dyDescent="0.25">
      <c r="A122" s="31" t="str">
        <f>IF(A121="","",IF(A121+1&gt;in_Term,"",A121+1))</f>
        <v/>
      </c>
      <c r="B122" s="32" t="str">
        <f>IF($A122="","",EDATE(in_Start,$A122-1))</f>
        <v/>
      </c>
      <c r="C122" s="32" t="str">
        <f>IF($A122="","",EDATE(in_Start,$A122)-1)</f>
        <v/>
      </c>
      <c r="D122" s="32" t="str">
        <f>IF($A122="","",IF(c_Adv=1,B122,C122))</f>
        <v/>
      </c>
      <c r="E122" s="33" t="str">
        <f t="shared" si="11"/>
        <v/>
      </c>
      <c r="F122" s="33" t="str">
        <f>IF($A122="","",IF(c_Adv=1,(E122-G122)*c_Rate,E122*c_Rate))</f>
        <v/>
      </c>
      <c r="G122" s="33" t="str">
        <f>IF($A122="","",IF(AND(c_Adv=1,$A122=1),0,in_Pmt))</f>
        <v/>
      </c>
      <c r="H122" s="33" t="str">
        <f t="shared" si="9"/>
        <v/>
      </c>
      <c r="I122" s="31" t="str">
        <f t="shared" si="10"/>
        <v/>
      </c>
    </row>
    <row r="123" spans="1:9" x14ac:dyDescent="0.25">
      <c r="A123" s="31" t="str">
        <f>IF(A122="","",IF(A122+1&gt;in_Term,"",A122+1))</f>
        <v/>
      </c>
      <c r="B123" s="32" t="str">
        <f>IF($A123="","",EDATE(in_Start,$A123-1))</f>
        <v/>
      </c>
      <c r="C123" s="32" t="str">
        <f>IF($A123="","",EDATE(in_Start,$A123)-1)</f>
        <v/>
      </c>
      <c r="D123" s="32" t="str">
        <f>IF($A123="","",IF(c_Adv=1,B123,C123))</f>
        <v/>
      </c>
      <c r="E123" s="33" t="str">
        <f t="shared" si="11"/>
        <v/>
      </c>
      <c r="F123" s="33" t="str">
        <f>IF($A123="","",IF(c_Adv=1,(E123-G123)*c_Rate,E123*c_Rate))</f>
        <v/>
      </c>
      <c r="G123" s="33" t="str">
        <f>IF($A123="","",IF(AND(c_Adv=1,$A123=1),0,in_Pmt))</f>
        <v/>
      </c>
      <c r="H123" s="33" t="str">
        <f t="shared" si="9"/>
        <v/>
      </c>
      <c r="I123" s="31" t="str">
        <f t="shared" si="10"/>
        <v/>
      </c>
    </row>
    <row r="124" spans="1:9" x14ac:dyDescent="0.25">
      <c r="A124" s="31" t="str">
        <f>IF(A123="","",IF(A123+1&gt;in_Term,"",A123+1))</f>
        <v/>
      </c>
      <c r="B124" s="32" t="str">
        <f>IF($A124="","",EDATE(in_Start,$A124-1))</f>
        <v/>
      </c>
      <c r="C124" s="32" t="str">
        <f>IF($A124="","",EDATE(in_Start,$A124)-1)</f>
        <v/>
      </c>
      <c r="D124" s="32" t="str">
        <f>IF($A124="","",IF(c_Adv=1,B124,C124))</f>
        <v/>
      </c>
      <c r="E124" s="33" t="str">
        <f t="shared" si="11"/>
        <v/>
      </c>
      <c r="F124" s="33" t="str">
        <f>IF($A124="","",IF(c_Adv=1,(E124-G124)*c_Rate,E124*c_Rate))</f>
        <v/>
      </c>
      <c r="G124" s="33" t="str">
        <f>IF($A124="","",IF(AND(c_Adv=1,$A124=1),0,in_Pmt))</f>
        <v/>
      </c>
      <c r="H124" s="33" t="str">
        <f t="shared" si="9"/>
        <v/>
      </c>
      <c r="I124" s="31" t="str">
        <f t="shared" si="10"/>
        <v/>
      </c>
    </row>
    <row r="125" spans="1:9" x14ac:dyDescent="0.25">
      <c r="A125" s="31" t="str">
        <f>IF(A124="","",IF(A124+1&gt;in_Term,"",A124+1))</f>
        <v/>
      </c>
      <c r="B125" s="32" t="str">
        <f>IF($A125="","",EDATE(in_Start,$A125-1))</f>
        <v/>
      </c>
      <c r="C125" s="32" t="str">
        <f>IF($A125="","",EDATE(in_Start,$A125)-1)</f>
        <v/>
      </c>
      <c r="D125" s="32" t="str">
        <f>IF($A125="","",IF(c_Adv=1,B125,C125))</f>
        <v/>
      </c>
      <c r="E125" s="33" t="str">
        <f t="shared" si="11"/>
        <v/>
      </c>
      <c r="F125" s="33" t="str">
        <f>IF($A125="","",IF(c_Adv=1,(E125-G125)*c_Rate,E125*c_Rate))</f>
        <v/>
      </c>
      <c r="G125" s="33" t="str">
        <f>IF($A125="","",IF(AND(c_Adv=1,$A125=1),0,in_Pmt))</f>
        <v/>
      </c>
      <c r="H125" s="33" t="str">
        <f t="shared" si="9"/>
        <v/>
      </c>
      <c r="I125" s="31" t="str">
        <f t="shared" si="10"/>
        <v/>
      </c>
    </row>
    <row r="126" spans="1:9" x14ac:dyDescent="0.25">
      <c r="A126" s="31" t="str">
        <f>IF(A125="","",IF(A125+1&gt;in_Term,"",A125+1))</f>
        <v/>
      </c>
      <c r="B126" s="32" t="str">
        <f>IF($A126="","",EDATE(in_Start,$A126-1))</f>
        <v/>
      </c>
      <c r="C126" s="32" t="str">
        <f>IF($A126="","",EDATE(in_Start,$A126)-1)</f>
        <v/>
      </c>
      <c r="D126" s="32" t="str">
        <f>IF($A126="","",IF(c_Adv=1,B126,C126))</f>
        <v/>
      </c>
      <c r="E126" s="33" t="str">
        <f t="shared" si="11"/>
        <v/>
      </c>
      <c r="F126" s="33" t="str">
        <f>IF($A126="","",IF(c_Adv=1,(E126-G126)*c_Rate,E126*c_Rate))</f>
        <v/>
      </c>
      <c r="G126" s="33" t="str">
        <f>IF($A126="","",IF(AND(c_Adv=1,$A126=1),0,in_Pmt))</f>
        <v/>
      </c>
      <c r="H126" s="33" t="str">
        <f t="shared" si="9"/>
        <v/>
      </c>
      <c r="I126" s="31" t="str">
        <f t="shared" si="10"/>
        <v/>
      </c>
    </row>
    <row r="127" spans="1:9" x14ac:dyDescent="0.25">
      <c r="A127" s="31" t="str">
        <f>IF(A126="","",IF(A126+1&gt;in_Term,"",A126+1))</f>
        <v/>
      </c>
      <c r="B127" s="32" t="str">
        <f>IF($A127="","",EDATE(in_Start,$A127-1))</f>
        <v/>
      </c>
      <c r="C127" s="32" t="str">
        <f>IF($A127="","",EDATE(in_Start,$A127)-1)</f>
        <v/>
      </c>
      <c r="D127" s="32" t="str">
        <f>IF($A127="","",IF(c_Adv=1,B127,C127))</f>
        <v/>
      </c>
      <c r="E127" s="33" t="str">
        <f t="shared" si="11"/>
        <v/>
      </c>
      <c r="F127" s="33" t="str">
        <f>IF($A127="","",IF(c_Adv=1,(E127-G127)*c_Rate,E127*c_Rate))</f>
        <v/>
      </c>
      <c r="G127" s="33" t="str">
        <f>IF($A127="","",IF(AND(c_Adv=1,$A127=1),0,in_Pmt))</f>
        <v/>
      </c>
      <c r="H127" s="33" t="str">
        <f t="shared" si="9"/>
        <v/>
      </c>
      <c r="I127" s="31" t="str">
        <f t="shared" si="10"/>
        <v/>
      </c>
    </row>
  </sheetData>
  <mergeCells count="8">
    <mergeCell ref="A5:D5"/>
    <mergeCell ref="F5:G5"/>
    <mergeCell ref="A1:I1"/>
    <mergeCell ref="A2:I2"/>
    <mergeCell ref="A3:D3"/>
    <mergeCell ref="F3:G3"/>
    <mergeCell ref="A4:D4"/>
    <mergeCell ref="F4:G4"/>
  </mergeCells>
  <printOptions horizontalCentered="1"/>
  <pageMargins left="0.3888888888888889" right="0.3888888888888889" top="0.5" bottom="0.55555555555555558" header="0.3" footer="0.3"/>
  <pageSetup paperSize="9" fitToHeight="0" orientation="landscape" verticalDpi="0" r:id="rId1"/>
  <headerFooter>
    <oddFooter>&amp;CMMN Syndicate · mmn-syndicate.vercel.app&amp;R&amp;P / &amp;N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E4BA3-28D7-43CA-AD6F-810776F8D79C}">
  <sheetPr>
    <pageSetUpPr fitToPage="1"/>
  </sheetPr>
  <dimension ref="A1:H127"/>
  <sheetViews>
    <sheetView zoomScale="90" zoomScaleNormal="9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B8" sqref="B8"/>
    </sheetView>
  </sheetViews>
  <sheetFormatPr defaultRowHeight="13.2" x14ac:dyDescent="0.25"/>
  <cols>
    <col min="1" max="1" width="9.77734375" customWidth="1"/>
    <col min="2" max="3" width="13.77734375" customWidth="1"/>
    <col min="4" max="4" width="20.77734375" customWidth="1"/>
    <col min="5" max="5" width="17.77734375" customWidth="1"/>
    <col min="6" max="7" width="20.77734375" customWidth="1"/>
    <col min="8" max="8" width="11.77734375" customWidth="1"/>
  </cols>
  <sheetData>
    <row r="1" spans="1:8" ht="30" customHeight="1" x14ac:dyDescent="0.25">
      <c r="A1" s="2" t="s">
        <v>84</v>
      </c>
      <c r="B1" s="2"/>
      <c r="C1" s="2"/>
      <c r="D1" s="2"/>
      <c r="E1" s="2"/>
      <c r="F1" s="2"/>
      <c r="G1" s="2"/>
      <c r="H1" s="2"/>
    </row>
    <row r="2" spans="1:8" ht="28.05" customHeight="1" x14ac:dyDescent="0.25">
      <c r="A2" s="34" t="s">
        <v>85</v>
      </c>
      <c r="B2" s="35"/>
      <c r="C2" s="35"/>
      <c r="D2" s="35"/>
      <c r="E2" s="35"/>
      <c r="F2" s="35"/>
      <c r="G2" s="35"/>
      <c r="H2" s="35"/>
    </row>
    <row r="3" spans="1:8" x14ac:dyDescent="0.25">
      <c r="A3" s="27" t="s">
        <v>86</v>
      </c>
      <c r="B3" s="27"/>
      <c r="C3" s="27"/>
      <c r="D3" s="28">
        <f>c_ROU</f>
        <v>1688285.0641870452</v>
      </c>
      <c r="E3" s="29" t="s">
        <v>87</v>
      </c>
      <c r="F3" s="27"/>
      <c r="G3" s="28">
        <f>c_Dep</f>
        <v>46896.807338529034</v>
      </c>
    </row>
    <row r="4" spans="1:8" x14ac:dyDescent="0.25">
      <c r="A4" s="27" t="s">
        <v>88</v>
      </c>
      <c r="B4" s="27"/>
      <c r="C4" s="27"/>
      <c r="D4" s="28">
        <f>IFERROR(INDEX(G8:G127,MIN(in_Term,120)),0)</f>
        <v>0</v>
      </c>
      <c r="E4" s="29" t="s">
        <v>89</v>
      </c>
      <c r="F4" s="27"/>
      <c r="G4" s="28">
        <f>SUM(E8:E127)</f>
        <v>1688285.0641870452</v>
      </c>
    </row>
    <row r="5" spans="1:8" x14ac:dyDescent="0.25">
      <c r="A5" s="27" t="s">
        <v>90</v>
      </c>
      <c r="B5" s="27"/>
      <c r="C5" s="27"/>
      <c r="D5" s="30" t="str">
        <f>IF(AND(ABS(D4)&lt;=0.01,ABS(G4-D3)&lt;=0.01),"✔ OK","✘ ตรวจสอบ / check")</f>
        <v>✔ OK</v>
      </c>
    </row>
    <row r="7" spans="1:8" ht="43.95" customHeight="1" x14ac:dyDescent="0.25">
      <c r="A7" s="5" t="s">
        <v>75</v>
      </c>
      <c r="B7" s="5" t="s">
        <v>76</v>
      </c>
      <c r="C7" s="5" t="s">
        <v>77</v>
      </c>
      <c r="D7" s="5" t="s">
        <v>91</v>
      </c>
      <c r="E7" s="5" t="s">
        <v>92</v>
      </c>
      <c r="F7" s="5" t="s">
        <v>93</v>
      </c>
      <c r="G7" s="5" t="s">
        <v>94</v>
      </c>
      <c r="H7" s="5" t="s">
        <v>83</v>
      </c>
    </row>
    <row r="8" spans="1:8" x14ac:dyDescent="0.25">
      <c r="A8" s="31">
        <f>IF(in_Term&gt;=1,1,"")</f>
        <v>1</v>
      </c>
      <c r="B8" s="32">
        <f>IF($A8="","",EDATE(in_Start,$A8-1))</f>
        <v>46023</v>
      </c>
      <c r="C8" s="32">
        <f>IF($A8="","",EDATE(in_Start,$A8)-1)</f>
        <v>46053</v>
      </c>
      <c r="D8" s="33">
        <f>IF($A8="","",c_ROU)</f>
        <v>1688285.0641870452</v>
      </c>
      <c r="E8" s="33">
        <f>IF($A8="","",c_Dep)</f>
        <v>46896.807338529034</v>
      </c>
      <c r="F8" s="33">
        <f>IF($A8="","",SUM($E$8:E8))</f>
        <v>46896.807338529034</v>
      </c>
      <c r="G8" s="33">
        <f>IF($A8="","",c_ROU-F8)</f>
        <v>1641388.2568485162</v>
      </c>
      <c r="H8" s="31">
        <f t="shared" ref="H8:H39" si="0">IF($A8="","",INT(($A8-1)/12)+1)</f>
        <v>1</v>
      </c>
    </row>
    <row r="9" spans="1:8" x14ac:dyDescent="0.25">
      <c r="A9" s="31">
        <f>IF(A8="","",IF(A8+1&gt;in_Term,"",A8+1))</f>
        <v>2</v>
      </c>
      <c r="B9" s="32">
        <f>IF($A9="","",EDATE(in_Start,$A9-1))</f>
        <v>46054</v>
      </c>
      <c r="C9" s="32">
        <f>IF($A9="","",EDATE(in_Start,$A9)-1)</f>
        <v>46081</v>
      </c>
      <c r="D9" s="33">
        <f t="shared" ref="D9:D40" si="1">IF($A9="","",G8)</f>
        <v>1641388.2568485162</v>
      </c>
      <c r="E9" s="33">
        <f>IF($A9="","",c_Dep)</f>
        <v>46896.807338529034</v>
      </c>
      <c r="F9" s="33">
        <f>IF($A9="","",SUM($E$8:E9))</f>
        <v>93793.614677058067</v>
      </c>
      <c r="G9" s="33">
        <f>IF($A9="","",c_ROU-F9)</f>
        <v>1594491.4495099871</v>
      </c>
      <c r="H9" s="31">
        <f t="shared" si="0"/>
        <v>1</v>
      </c>
    </row>
    <row r="10" spans="1:8" x14ac:dyDescent="0.25">
      <c r="A10" s="31">
        <f>IF(A9="","",IF(A9+1&gt;in_Term,"",A9+1))</f>
        <v>3</v>
      </c>
      <c r="B10" s="32">
        <f>IF($A10="","",EDATE(in_Start,$A10-1))</f>
        <v>46082</v>
      </c>
      <c r="C10" s="32">
        <f>IF($A10="","",EDATE(in_Start,$A10)-1)</f>
        <v>46112</v>
      </c>
      <c r="D10" s="33">
        <f t="shared" si="1"/>
        <v>1594491.4495099871</v>
      </c>
      <c r="E10" s="33">
        <f>IF($A10="","",c_Dep)</f>
        <v>46896.807338529034</v>
      </c>
      <c r="F10" s="33">
        <f>IF($A10="","",SUM($E$8:E10))</f>
        <v>140690.4220155871</v>
      </c>
      <c r="G10" s="33">
        <f>IF($A10="","",c_ROU-F10)</f>
        <v>1547594.6421714581</v>
      </c>
      <c r="H10" s="31">
        <f t="shared" si="0"/>
        <v>1</v>
      </c>
    </row>
    <row r="11" spans="1:8" x14ac:dyDescent="0.25">
      <c r="A11" s="31">
        <f>IF(A10="","",IF(A10+1&gt;in_Term,"",A10+1))</f>
        <v>4</v>
      </c>
      <c r="B11" s="32">
        <f>IF($A11="","",EDATE(in_Start,$A11-1))</f>
        <v>46113</v>
      </c>
      <c r="C11" s="32">
        <f>IF($A11="","",EDATE(in_Start,$A11)-1)</f>
        <v>46142</v>
      </c>
      <c r="D11" s="33">
        <f t="shared" si="1"/>
        <v>1547594.6421714581</v>
      </c>
      <c r="E11" s="33">
        <f>IF($A11="","",c_Dep)</f>
        <v>46896.807338529034</v>
      </c>
      <c r="F11" s="33">
        <f>IF($A11="","",SUM($E$8:E11))</f>
        <v>187587.22935411613</v>
      </c>
      <c r="G11" s="33">
        <f>IF($A11="","",c_ROU-F11)</f>
        <v>1500697.8348329291</v>
      </c>
      <c r="H11" s="31">
        <f t="shared" si="0"/>
        <v>1</v>
      </c>
    </row>
    <row r="12" spans="1:8" x14ac:dyDescent="0.25">
      <c r="A12" s="31">
        <f>IF(A11="","",IF(A11+1&gt;in_Term,"",A11+1))</f>
        <v>5</v>
      </c>
      <c r="B12" s="32">
        <f>IF($A12="","",EDATE(in_Start,$A12-1))</f>
        <v>46143</v>
      </c>
      <c r="C12" s="32">
        <f>IF($A12="","",EDATE(in_Start,$A12)-1)</f>
        <v>46173</v>
      </c>
      <c r="D12" s="33">
        <f t="shared" si="1"/>
        <v>1500697.8348329291</v>
      </c>
      <c r="E12" s="33">
        <f>IF($A12="","",c_Dep)</f>
        <v>46896.807338529034</v>
      </c>
      <c r="F12" s="33">
        <f>IF($A12="","",SUM($E$8:E12))</f>
        <v>234484.03669264517</v>
      </c>
      <c r="G12" s="33">
        <f>IF($A12="","",c_ROU-F12)</f>
        <v>1453801.0274944</v>
      </c>
      <c r="H12" s="31">
        <f t="shared" si="0"/>
        <v>1</v>
      </c>
    </row>
    <row r="13" spans="1:8" x14ac:dyDescent="0.25">
      <c r="A13" s="31">
        <f>IF(A12="","",IF(A12+1&gt;in_Term,"",A12+1))</f>
        <v>6</v>
      </c>
      <c r="B13" s="32">
        <f>IF($A13="","",EDATE(in_Start,$A13-1))</f>
        <v>46174</v>
      </c>
      <c r="C13" s="32">
        <f>IF($A13="","",EDATE(in_Start,$A13)-1)</f>
        <v>46203</v>
      </c>
      <c r="D13" s="33">
        <f t="shared" si="1"/>
        <v>1453801.0274944</v>
      </c>
      <c r="E13" s="33">
        <f>IF($A13="","",c_Dep)</f>
        <v>46896.807338529034</v>
      </c>
      <c r="F13" s="33">
        <f>IF($A13="","",SUM($E$8:E13))</f>
        <v>281380.8440311742</v>
      </c>
      <c r="G13" s="33">
        <f>IF($A13="","",c_ROU-F13)</f>
        <v>1406904.220155871</v>
      </c>
      <c r="H13" s="31">
        <f t="shared" si="0"/>
        <v>1</v>
      </c>
    </row>
    <row r="14" spans="1:8" x14ac:dyDescent="0.25">
      <c r="A14" s="31">
        <f>IF(A13="","",IF(A13+1&gt;in_Term,"",A13+1))</f>
        <v>7</v>
      </c>
      <c r="B14" s="32">
        <f>IF($A14="","",EDATE(in_Start,$A14-1))</f>
        <v>46204</v>
      </c>
      <c r="C14" s="32">
        <f>IF($A14="","",EDATE(in_Start,$A14)-1)</f>
        <v>46234</v>
      </c>
      <c r="D14" s="33">
        <f t="shared" si="1"/>
        <v>1406904.220155871</v>
      </c>
      <c r="E14" s="33">
        <f>IF($A14="","",c_Dep)</f>
        <v>46896.807338529034</v>
      </c>
      <c r="F14" s="33">
        <f>IF($A14="","",SUM($E$8:E14))</f>
        <v>328277.65136970324</v>
      </c>
      <c r="G14" s="33">
        <f>IF($A14="","",c_ROU-F14)</f>
        <v>1360007.412817342</v>
      </c>
      <c r="H14" s="31">
        <f t="shared" si="0"/>
        <v>1</v>
      </c>
    </row>
    <row r="15" spans="1:8" x14ac:dyDescent="0.25">
      <c r="A15" s="31">
        <f>IF(A14="","",IF(A14+1&gt;in_Term,"",A14+1))</f>
        <v>8</v>
      </c>
      <c r="B15" s="32">
        <f>IF($A15="","",EDATE(in_Start,$A15-1))</f>
        <v>46235</v>
      </c>
      <c r="C15" s="32">
        <f>IF($A15="","",EDATE(in_Start,$A15)-1)</f>
        <v>46265</v>
      </c>
      <c r="D15" s="33">
        <f t="shared" si="1"/>
        <v>1360007.412817342</v>
      </c>
      <c r="E15" s="33">
        <f>IF($A15="","",c_Dep)</f>
        <v>46896.807338529034</v>
      </c>
      <c r="F15" s="33">
        <f>IF($A15="","",SUM($E$8:E15))</f>
        <v>375174.45870823227</v>
      </c>
      <c r="G15" s="33">
        <f>IF($A15="","",c_ROU-F15)</f>
        <v>1313110.6054788129</v>
      </c>
      <c r="H15" s="31">
        <f t="shared" si="0"/>
        <v>1</v>
      </c>
    </row>
    <row r="16" spans="1:8" x14ac:dyDescent="0.25">
      <c r="A16" s="31">
        <f>IF(A15="","",IF(A15+1&gt;in_Term,"",A15+1))</f>
        <v>9</v>
      </c>
      <c r="B16" s="32">
        <f>IF($A16="","",EDATE(in_Start,$A16-1))</f>
        <v>46266</v>
      </c>
      <c r="C16" s="32">
        <f>IF($A16="","",EDATE(in_Start,$A16)-1)</f>
        <v>46295</v>
      </c>
      <c r="D16" s="33">
        <f t="shared" si="1"/>
        <v>1313110.6054788129</v>
      </c>
      <c r="E16" s="33">
        <f>IF($A16="","",c_Dep)</f>
        <v>46896.807338529034</v>
      </c>
      <c r="F16" s="33">
        <f>IF($A16="","",SUM($E$8:E16))</f>
        <v>422071.2660467613</v>
      </c>
      <c r="G16" s="33">
        <f>IF($A16="","",c_ROU-F16)</f>
        <v>1266213.7981402839</v>
      </c>
      <c r="H16" s="31">
        <f t="shared" si="0"/>
        <v>1</v>
      </c>
    </row>
    <row r="17" spans="1:8" x14ac:dyDescent="0.25">
      <c r="A17" s="31">
        <f>IF(A16="","",IF(A16+1&gt;in_Term,"",A16+1))</f>
        <v>10</v>
      </c>
      <c r="B17" s="32">
        <f>IF($A17="","",EDATE(in_Start,$A17-1))</f>
        <v>46296</v>
      </c>
      <c r="C17" s="32">
        <f>IF($A17="","",EDATE(in_Start,$A17)-1)</f>
        <v>46326</v>
      </c>
      <c r="D17" s="33">
        <f t="shared" si="1"/>
        <v>1266213.7981402839</v>
      </c>
      <c r="E17" s="33">
        <f>IF($A17="","",c_Dep)</f>
        <v>46896.807338529034</v>
      </c>
      <c r="F17" s="33">
        <f>IF($A17="","",SUM($E$8:E17))</f>
        <v>468968.07338529034</v>
      </c>
      <c r="G17" s="33">
        <f>IF($A17="","",c_ROU-F17)</f>
        <v>1219316.9908017549</v>
      </c>
      <c r="H17" s="31">
        <f t="shared" si="0"/>
        <v>1</v>
      </c>
    </row>
    <row r="18" spans="1:8" x14ac:dyDescent="0.25">
      <c r="A18" s="31">
        <f>IF(A17="","",IF(A17+1&gt;in_Term,"",A17+1))</f>
        <v>11</v>
      </c>
      <c r="B18" s="32">
        <f>IF($A18="","",EDATE(in_Start,$A18-1))</f>
        <v>46327</v>
      </c>
      <c r="C18" s="32">
        <f>IF($A18="","",EDATE(in_Start,$A18)-1)</f>
        <v>46356</v>
      </c>
      <c r="D18" s="33">
        <f t="shared" si="1"/>
        <v>1219316.9908017549</v>
      </c>
      <c r="E18" s="33">
        <f>IF($A18="","",c_Dep)</f>
        <v>46896.807338529034</v>
      </c>
      <c r="F18" s="33">
        <f>IF($A18="","",SUM($E$8:E18))</f>
        <v>515864.88072381937</v>
      </c>
      <c r="G18" s="33">
        <f>IF($A18="","",c_ROU-F18)</f>
        <v>1172420.1834632258</v>
      </c>
      <c r="H18" s="31">
        <f t="shared" si="0"/>
        <v>1</v>
      </c>
    </row>
    <row r="19" spans="1:8" x14ac:dyDescent="0.25">
      <c r="A19" s="31">
        <f>IF(A18="","",IF(A18+1&gt;in_Term,"",A18+1))</f>
        <v>12</v>
      </c>
      <c r="B19" s="32">
        <f>IF($A19="","",EDATE(in_Start,$A19-1))</f>
        <v>46357</v>
      </c>
      <c r="C19" s="32">
        <f>IF($A19="","",EDATE(in_Start,$A19)-1)</f>
        <v>46387</v>
      </c>
      <c r="D19" s="33">
        <f t="shared" si="1"/>
        <v>1172420.1834632258</v>
      </c>
      <c r="E19" s="33">
        <f>IF($A19="","",c_Dep)</f>
        <v>46896.807338529034</v>
      </c>
      <c r="F19" s="33">
        <f>IF($A19="","",SUM($E$8:E19))</f>
        <v>562761.6880623484</v>
      </c>
      <c r="G19" s="33">
        <f>IF($A19="","",c_ROU-F19)</f>
        <v>1125523.3761246968</v>
      </c>
      <c r="H19" s="31">
        <f t="shared" si="0"/>
        <v>1</v>
      </c>
    </row>
    <row r="20" spans="1:8" x14ac:dyDescent="0.25">
      <c r="A20" s="31">
        <f>IF(A19="","",IF(A19+1&gt;in_Term,"",A19+1))</f>
        <v>13</v>
      </c>
      <c r="B20" s="32">
        <f>IF($A20="","",EDATE(in_Start,$A20-1))</f>
        <v>46388</v>
      </c>
      <c r="C20" s="32">
        <f>IF($A20="","",EDATE(in_Start,$A20)-1)</f>
        <v>46418</v>
      </c>
      <c r="D20" s="33">
        <f t="shared" si="1"/>
        <v>1125523.3761246968</v>
      </c>
      <c r="E20" s="33">
        <f>IF($A20="","",c_Dep)</f>
        <v>46896.807338529034</v>
      </c>
      <c r="F20" s="33">
        <f>IF($A20="","",SUM($E$8:E20))</f>
        <v>609658.49540087744</v>
      </c>
      <c r="G20" s="33">
        <f>IF($A20="","",c_ROU-F20)</f>
        <v>1078626.5687861678</v>
      </c>
      <c r="H20" s="31">
        <f t="shared" si="0"/>
        <v>2</v>
      </c>
    </row>
    <row r="21" spans="1:8" x14ac:dyDescent="0.25">
      <c r="A21" s="31">
        <f>IF(A20="","",IF(A20+1&gt;in_Term,"",A20+1))</f>
        <v>14</v>
      </c>
      <c r="B21" s="32">
        <f>IF($A21="","",EDATE(in_Start,$A21-1))</f>
        <v>46419</v>
      </c>
      <c r="C21" s="32">
        <f>IF($A21="","",EDATE(in_Start,$A21)-1)</f>
        <v>46446</v>
      </c>
      <c r="D21" s="33">
        <f t="shared" si="1"/>
        <v>1078626.5687861678</v>
      </c>
      <c r="E21" s="33">
        <f>IF($A21="","",c_Dep)</f>
        <v>46896.807338529034</v>
      </c>
      <c r="F21" s="33">
        <f>IF($A21="","",SUM($E$8:E21))</f>
        <v>656555.30273940647</v>
      </c>
      <c r="G21" s="33">
        <f>IF($A21="","",c_ROU-F21)</f>
        <v>1031729.7614476387</v>
      </c>
      <c r="H21" s="31">
        <f t="shared" si="0"/>
        <v>2</v>
      </c>
    </row>
    <row r="22" spans="1:8" x14ac:dyDescent="0.25">
      <c r="A22" s="31">
        <f>IF(A21="","",IF(A21+1&gt;in_Term,"",A21+1))</f>
        <v>15</v>
      </c>
      <c r="B22" s="32">
        <f>IF($A22="","",EDATE(in_Start,$A22-1))</f>
        <v>46447</v>
      </c>
      <c r="C22" s="32">
        <f>IF($A22="","",EDATE(in_Start,$A22)-1)</f>
        <v>46477</v>
      </c>
      <c r="D22" s="33">
        <f t="shared" si="1"/>
        <v>1031729.7614476387</v>
      </c>
      <c r="E22" s="33">
        <f>IF($A22="","",c_Dep)</f>
        <v>46896.807338529034</v>
      </c>
      <c r="F22" s="33">
        <f>IF($A22="","",SUM($E$8:E22))</f>
        <v>703452.1100779355</v>
      </c>
      <c r="G22" s="33">
        <f>IF($A22="","",c_ROU-F22)</f>
        <v>984832.95410910971</v>
      </c>
      <c r="H22" s="31">
        <f t="shared" si="0"/>
        <v>2</v>
      </c>
    </row>
    <row r="23" spans="1:8" x14ac:dyDescent="0.25">
      <c r="A23" s="31">
        <f>IF(A22="","",IF(A22+1&gt;in_Term,"",A22+1))</f>
        <v>16</v>
      </c>
      <c r="B23" s="32">
        <f>IF($A23="","",EDATE(in_Start,$A23-1))</f>
        <v>46478</v>
      </c>
      <c r="C23" s="32">
        <f>IF($A23="","",EDATE(in_Start,$A23)-1)</f>
        <v>46507</v>
      </c>
      <c r="D23" s="33">
        <f t="shared" si="1"/>
        <v>984832.95410910971</v>
      </c>
      <c r="E23" s="33">
        <f>IF($A23="","",c_Dep)</f>
        <v>46896.807338529034</v>
      </c>
      <c r="F23" s="33">
        <f>IF($A23="","",SUM($E$8:E23))</f>
        <v>750348.91741646454</v>
      </c>
      <c r="G23" s="33">
        <f>IF($A23="","",c_ROU-F23)</f>
        <v>937936.14677058067</v>
      </c>
      <c r="H23" s="31">
        <f t="shared" si="0"/>
        <v>2</v>
      </c>
    </row>
    <row r="24" spans="1:8" x14ac:dyDescent="0.25">
      <c r="A24" s="31">
        <f>IF(A23="","",IF(A23+1&gt;in_Term,"",A23+1))</f>
        <v>17</v>
      </c>
      <c r="B24" s="32">
        <f>IF($A24="","",EDATE(in_Start,$A24-1))</f>
        <v>46508</v>
      </c>
      <c r="C24" s="32">
        <f>IF($A24="","",EDATE(in_Start,$A24)-1)</f>
        <v>46538</v>
      </c>
      <c r="D24" s="33">
        <f t="shared" si="1"/>
        <v>937936.14677058067</v>
      </c>
      <c r="E24" s="33">
        <f>IF($A24="","",c_Dep)</f>
        <v>46896.807338529034</v>
      </c>
      <c r="F24" s="33">
        <f>IF($A24="","",SUM($E$8:E24))</f>
        <v>797245.72475499357</v>
      </c>
      <c r="G24" s="33">
        <f>IF($A24="","",c_ROU-F24)</f>
        <v>891039.33943205164</v>
      </c>
      <c r="H24" s="31">
        <f t="shared" si="0"/>
        <v>2</v>
      </c>
    </row>
    <row r="25" spans="1:8" x14ac:dyDescent="0.25">
      <c r="A25" s="31">
        <f>IF(A24="","",IF(A24+1&gt;in_Term,"",A24+1))</f>
        <v>18</v>
      </c>
      <c r="B25" s="32">
        <f>IF($A25="","",EDATE(in_Start,$A25-1))</f>
        <v>46539</v>
      </c>
      <c r="C25" s="32">
        <f>IF($A25="","",EDATE(in_Start,$A25)-1)</f>
        <v>46568</v>
      </c>
      <c r="D25" s="33">
        <f t="shared" si="1"/>
        <v>891039.33943205164</v>
      </c>
      <c r="E25" s="33">
        <f>IF($A25="","",c_Dep)</f>
        <v>46896.807338529034</v>
      </c>
      <c r="F25" s="33">
        <f>IF($A25="","",SUM($E$8:E25))</f>
        <v>844142.5320935226</v>
      </c>
      <c r="G25" s="33">
        <f>IF($A25="","",c_ROU-F25)</f>
        <v>844142.5320935226</v>
      </c>
      <c r="H25" s="31">
        <f t="shared" si="0"/>
        <v>2</v>
      </c>
    </row>
    <row r="26" spans="1:8" x14ac:dyDescent="0.25">
      <c r="A26" s="31">
        <f>IF(A25="","",IF(A25+1&gt;in_Term,"",A25+1))</f>
        <v>19</v>
      </c>
      <c r="B26" s="32">
        <f>IF($A26="","",EDATE(in_Start,$A26-1))</f>
        <v>46569</v>
      </c>
      <c r="C26" s="32">
        <f>IF($A26="","",EDATE(in_Start,$A26)-1)</f>
        <v>46599</v>
      </c>
      <c r="D26" s="33">
        <f t="shared" si="1"/>
        <v>844142.5320935226</v>
      </c>
      <c r="E26" s="33">
        <f>IF($A26="","",c_Dep)</f>
        <v>46896.807338529034</v>
      </c>
      <c r="F26" s="33">
        <f>IF($A26="","",SUM($E$8:E26))</f>
        <v>891039.33943205164</v>
      </c>
      <c r="G26" s="33">
        <f>IF($A26="","",c_ROU-F26)</f>
        <v>797245.72475499357</v>
      </c>
      <c r="H26" s="31">
        <f t="shared" si="0"/>
        <v>2</v>
      </c>
    </row>
    <row r="27" spans="1:8" x14ac:dyDescent="0.25">
      <c r="A27" s="31">
        <f>IF(A26="","",IF(A26+1&gt;in_Term,"",A26+1))</f>
        <v>20</v>
      </c>
      <c r="B27" s="32">
        <f>IF($A27="","",EDATE(in_Start,$A27-1))</f>
        <v>46600</v>
      </c>
      <c r="C27" s="32">
        <f>IF($A27="","",EDATE(in_Start,$A27)-1)</f>
        <v>46630</v>
      </c>
      <c r="D27" s="33">
        <f t="shared" si="1"/>
        <v>797245.72475499357</v>
      </c>
      <c r="E27" s="33">
        <f>IF($A27="","",c_Dep)</f>
        <v>46896.807338529034</v>
      </c>
      <c r="F27" s="33">
        <f>IF($A27="","",SUM($E$8:E27))</f>
        <v>937936.14677058067</v>
      </c>
      <c r="G27" s="33">
        <f>IF($A27="","",c_ROU-F27)</f>
        <v>750348.91741646454</v>
      </c>
      <c r="H27" s="31">
        <f t="shared" si="0"/>
        <v>2</v>
      </c>
    </row>
    <row r="28" spans="1:8" x14ac:dyDescent="0.25">
      <c r="A28" s="31">
        <f>IF(A27="","",IF(A27+1&gt;in_Term,"",A27+1))</f>
        <v>21</v>
      </c>
      <c r="B28" s="32">
        <f>IF($A28="","",EDATE(in_Start,$A28-1))</f>
        <v>46631</v>
      </c>
      <c r="C28" s="32">
        <f>IF($A28="","",EDATE(in_Start,$A28)-1)</f>
        <v>46660</v>
      </c>
      <c r="D28" s="33">
        <f t="shared" si="1"/>
        <v>750348.91741646454</v>
      </c>
      <c r="E28" s="33">
        <f>IF($A28="","",c_Dep)</f>
        <v>46896.807338529034</v>
      </c>
      <c r="F28" s="33">
        <f>IF($A28="","",SUM($E$8:E28))</f>
        <v>984832.95410910971</v>
      </c>
      <c r="G28" s="33">
        <f>IF($A28="","",c_ROU-F28)</f>
        <v>703452.1100779355</v>
      </c>
      <c r="H28" s="31">
        <f t="shared" si="0"/>
        <v>2</v>
      </c>
    </row>
    <row r="29" spans="1:8" x14ac:dyDescent="0.25">
      <c r="A29" s="31">
        <f>IF(A28="","",IF(A28+1&gt;in_Term,"",A28+1))</f>
        <v>22</v>
      </c>
      <c r="B29" s="32">
        <f>IF($A29="","",EDATE(in_Start,$A29-1))</f>
        <v>46661</v>
      </c>
      <c r="C29" s="32">
        <f>IF($A29="","",EDATE(in_Start,$A29)-1)</f>
        <v>46691</v>
      </c>
      <c r="D29" s="33">
        <f t="shared" si="1"/>
        <v>703452.1100779355</v>
      </c>
      <c r="E29" s="33">
        <f>IF($A29="","",c_Dep)</f>
        <v>46896.807338529034</v>
      </c>
      <c r="F29" s="33">
        <f>IF($A29="","",SUM($E$8:E29))</f>
        <v>1031729.7614476387</v>
      </c>
      <c r="G29" s="33">
        <f>IF($A29="","",c_ROU-F29)</f>
        <v>656555.30273940647</v>
      </c>
      <c r="H29" s="31">
        <f t="shared" si="0"/>
        <v>2</v>
      </c>
    </row>
    <row r="30" spans="1:8" x14ac:dyDescent="0.25">
      <c r="A30" s="31">
        <f>IF(A29="","",IF(A29+1&gt;in_Term,"",A29+1))</f>
        <v>23</v>
      </c>
      <c r="B30" s="32">
        <f>IF($A30="","",EDATE(in_Start,$A30-1))</f>
        <v>46692</v>
      </c>
      <c r="C30" s="32">
        <f>IF($A30="","",EDATE(in_Start,$A30)-1)</f>
        <v>46721</v>
      </c>
      <c r="D30" s="33">
        <f t="shared" si="1"/>
        <v>656555.30273940647</v>
      </c>
      <c r="E30" s="33">
        <f>IF($A30="","",c_Dep)</f>
        <v>46896.807338529034</v>
      </c>
      <c r="F30" s="33">
        <f>IF($A30="","",SUM($E$8:E30))</f>
        <v>1078626.5687861678</v>
      </c>
      <c r="G30" s="33">
        <f>IF($A30="","",c_ROU-F30)</f>
        <v>609658.49540087744</v>
      </c>
      <c r="H30" s="31">
        <f t="shared" si="0"/>
        <v>2</v>
      </c>
    </row>
    <row r="31" spans="1:8" x14ac:dyDescent="0.25">
      <c r="A31" s="31">
        <f>IF(A30="","",IF(A30+1&gt;in_Term,"",A30+1))</f>
        <v>24</v>
      </c>
      <c r="B31" s="32">
        <f>IF($A31="","",EDATE(in_Start,$A31-1))</f>
        <v>46722</v>
      </c>
      <c r="C31" s="32">
        <f>IF($A31="","",EDATE(in_Start,$A31)-1)</f>
        <v>46752</v>
      </c>
      <c r="D31" s="33">
        <f t="shared" si="1"/>
        <v>609658.49540087744</v>
      </c>
      <c r="E31" s="33">
        <f>IF($A31="","",c_Dep)</f>
        <v>46896.807338529034</v>
      </c>
      <c r="F31" s="33">
        <f>IF($A31="","",SUM($E$8:E31))</f>
        <v>1125523.3761246968</v>
      </c>
      <c r="G31" s="33">
        <f>IF($A31="","",c_ROU-F31)</f>
        <v>562761.6880623484</v>
      </c>
      <c r="H31" s="31">
        <f t="shared" si="0"/>
        <v>2</v>
      </c>
    </row>
    <row r="32" spans="1:8" x14ac:dyDescent="0.25">
      <c r="A32" s="31">
        <f>IF(A31="","",IF(A31+1&gt;in_Term,"",A31+1))</f>
        <v>25</v>
      </c>
      <c r="B32" s="32">
        <f>IF($A32="","",EDATE(in_Start,$A32-1))</f>
        <v>46753</v>
      </c>
      <c r="C32" s="32">
        <f>IF($A32="","",EDATE(in_Start,$A32)-1)</f>
        <v>46783</v>
      </c>
      <c r="D32" s="33">
        <f t="shared" si="1"/>
        <v>562761.6880623484</v>
      </c>
      <c r="E32" s="33">
        <f>IF($A32="","",c_Dep)</f>
        <v>46896.807338529034</v>
      </c>
      <c r="F32" s="33">
        <f>IF($A32="","",SUM($E$8:E32))</f>
        <v>1172420.1834632258</v>
      </c>
      <c r="G32" s="33">
        <f>IF($A32="","",c_ROU-F32)</f>
        <v>515864.88072381937</v>
      </c>
      <c r="H32" s="31">
        <f t="shared" si="0"/>
        <v>3</v>
      </c>
    </row>
    <row r="33" spans="1:8" x14ac:dyDescent="0.25">
      <c r="A33" s="31">
        <f>IF(A32="","",IF(A32+1&gt;in_Term,"",A32+1))</f>
        <v>26</v>
      </c>
      <c r="B33" s="32">
        <f>IF($A33="","",EDATE(in_Start,$A33-1))</f>
        <v>46784</v>
      </c>
      <c r="C33" s="32">
        <f>IF($A33="","",EDATE(in_Start,$A33)-1)</f>
        <v>46812</v>
      </c>
      <c r="D33" s="33">
        <f t="shared" si="1"/>
        <v>515864.88072381937</v>
      </c>
      <c r="E33" s="33">
        <f>IF($A33="","",c_Dep)</f>
        <v>46896.807338529034</v>
      </c>
      <c r="F33" s="33">
        <f>IF($A33="","",SUM($E$8:E33))</f>
        <v>1219316.9908017549</v>
      </c>
      <c r="G33" s="33">
        <f>IF($A33="","",c_ROU-F33)</f>
        <v>468968.07338529034</v>
      </c>
      <c r="H33" s="31">
        <f t="shared" si="0"/>
        <v>3</v>
      </c>
    </row>
    <row r="34" spans="1:8" x14ac:dyDescent="0.25">
      <c r="A34" s="31">
        <f>IF(A33="","",IF(A33+1&gt;in_Term,"",A33+1))</f>
        <v>27</v>
      </c>
      <c r="B34" s="32">
        <f>IF($A34="","",EDATE(in_Start,$A34-1))</f>
        <v>46813</v>
      </c>
      <c r="C34" s="32">
        <f>IF($A34="","",EDATE(in_Start,$A34)-1)</f>
        <v>46843</v>
      </c>
      <c r="D34" s="33">
        <f t="shared" si="1"/>
        <v>468968.07338529034</v>
      </c>
      <c r="E34" s="33">
        <f>IF($A34="","",c_Dep)</f>
        <v>46896.807338529034</v>
      </c>
      <c r="F34" s="33">
        <f>IF($A34="","",SUM($E$8:E34))</f>
        <v>1266213.7981402839</v>
      </c>
      <c r="G34" s="33">
        <f>IF($A34="","",c_ROU-F34)</f>
        <v>422071.2660467613</v>
      </c>
      <c r="H34" s="31">
        <f t="shared" si="0"/>
        <v>3</v>
      </c>
    </row>
    <row r="35" spans="1:8" x14ac:dyDescent="0.25">
      <c r="A35" s="31">
        <f>IF(A34="","",IF(A34+1&gt;in_Term,"",A34+1))</f>
        <v>28</v>
      </c>
      <c r="B35" s="32">
        <f>IF($A35="","",EDATE(in_Start,$A35-1))</f>
        <v>46844</v>
      </c>
      <c r="C35" s="32">
        <f>IF($A35="","",EDATE(in_Start,$A35)-1)</f>
        <v>46873</v>
      </c>
      <c r="D35" s="33">
        <f t="shared" si="1"/>
        <v>422071.2660467613</v>
      </c>
      <c r="E35" s="33">
        <f>IF($A35="","",c_Dep)</f>
        <v>46896.807338529034</v>
      </c>
      <c r="F35" s="33">
        <f>IF($A35="","",SUM($E$8:E35))</f>
        <v>1313110.6054788129</v>
      </c>
      <c r="G35" s="33">
        <f>IF($A35="","",c_ROU-F35)</f>
        <v>375174.45870823227</v>
      </c>
      <c r="H35" s="31">
        <f t="shared" si="0"/>
        <v>3</v>
      </c>
    </row>
    <row r="36" spans="1:8" x14ac:dyDescent="0.25">
      <c r="A36" s="31">
        <f>IF(A35="","",IF(A35+1&gt;in_Term,"",A35+1))</f>
        <v>29</v>
      </c>
      <c r="B36" s="32">
        <f>IF($A36="","",EDATE(in_Start,$A36-1))</f>
        <v>46874</v>
      </c>
      <c r="C36" s="32">
        <f>IF($A36="","",EDATE(in_Start,$A36)-1)</f>
        <v>46904</v>
      </c>
      <c r="D36" s="33">
        <f t="shared" si="1"/>
        <v>375174.45870823227</v>
      </c>
      <c r="E36" s="33">
        <f>IF($A36="","",c_Dep)</f>
        <v>46896.807338529034</v>
      </c>
      <c r="F36" s="33">
        <f>IF($A36="","",SUM($E$8:E36))</f>
        <v>1360007.412817342</v>
      </c>
      <c r="G36" s="33">
        <f>IF($A36="","",c_ROU-F36)</f>
        <v>328277.65136970324</v>
      </c>
      <c r="H36" s="31">
        <f t="shared" si="0"/>
        <v>3</v>
      </c>
    </row>
    <row r="37" spans="1:8" x14ac:dyDescent="0.25">
      <c r="A37" s="31">
        <f>IF(A36="","",IF(A36+1&gt;in_Term,"",A36+1))</f>
        <v>30</v>
      </c>
      <c r="B37" s="32">
        <f>IF($A37="","",EDATE(in_Start,$A37-1))</f>
        <v>46905</v>
      </c>
      <c r="C37" s="32">
        <f>IF($A37="","",EDATE(in_Start,$A37)-1)</f>
        <v>46934</v>
      </c>
      <c r="D37" s="33">
        <f t="shared" si="1"/>
        <v>328277.65136970324</v>
      </c>
      <c r="E37" s="33">
        <f>IF($A37="","",c_Dep)</f>
        <v>46896.807338529034</v>
      </c>
      <c r="F37" s="33">
        <f>IF($A37="","",SUM($E$8:E37))</f>
        <v>1406904.220155871</v>
      </c>
      <c r="G37" s="33">
        <f>IF($A37="","",c_ROU-F37)</f>
        <v>281380.8440311742</v>
      </c>
      <c r="H37" s="31">
        <f t="shared" si="0"/>
        <v>3</v>
      </c>
    </row>
    <row r="38" spans="1:8" x14ac:dyDescent="0.25">
      <c r="A38" s="31">
        <f>IF(A37="","",IF(A37+1&gt;in_Term,"",A37+1))</f>
        <v>31</v>
      </c>
      <c r="B38" s="32">
        <f>IF($A38="","",EDATE(in_Start,$A38-1))</f>
        <v>46935</v>
      </c>
      <c r="C38" s="32">
        <f>IF($A38="","",EDATE(in_Start,$A38)-1)</f>
        <v>46965</v>
      </c>
      <c r="D38" s="33">
        <f t="shared" si="1"/>
        <v>281380.8440311742</v>
      </c>
      <c r="E38" s="33">
        <f>IF($A38="","",c_Dep)</f>
        <v>46896.807338529034</v>
      </c>
      <c r="F38" s="33">
        <f>IF($A38="","",SUM($E$8:E38))</f>
        <v>1453801.0274944</v>
      </c>
      <c r="G38" s="33">
        <f>IF($A38="","",c_ROU-F38)</f>
        <v>234484.03669264517</v>
      </c>
      <c r="H38" s="31">
        <f t="shared" si="0"/>
        <v>3</v>
      </c>
    </row>
    <row r="39" spans="1:8" x14ac:dyDescent="0.25">
      <c r="A39" s="31">
        <f>IF(A38="","",IF(A38+1&gt;in_Term,"",A38+1))</f>
        <v>32</v>
      </c>
      <c r="B39" s="32">
        <f>IF($A39="","",EDATE(in_Start,$A39-1))</f>
        <v>46966</v>
      </c>
      <c r="C39" s="32">
        <f>IF($A39="","",EDATE(in_Start,$A39)-1)</f>
        <v>46996</v>
      </c>
      <c r="D39" s="33">
        <f t="shared" si="1"/>
        <v>234484.03669264517</v>
      </c>
      <c r="E39" s="33">
        <f>IF($A39="","",c_Dep)</f>
        <v>46896.807338529034</v>
      </c>
      <c r="F39" s="33">
        <f>IF($A39="","",SUM($E$8:E39))</f>
        <v>1500697.8348329291</v>
      </c>
      <c r="G39" s="33">
        <f>IF($A39="","",c_ROU-F39)</f>
        <v>187587.22935411613</v>
      </c>
      <c r="H39" s="31">
        <f t="shared" si="0"/>
        <v>3</v>
      </c>
    </row>
    <row r="40" spans="1:8" x14ac:dyDescent="0.25">
      <c r="A40" s="31">
        <f>IF(A39="","",IF(A39+1&gt;in_Term,"",A39+1))</f>
        <v>33</v>
      </c>
      <c r="B40" s="32">
        <f>IF($A40="","",EDATE(in_Start,$A40-1))</f>
        <v>46997</v>
      </c>
      <c r="C40" s="32">
        <f>IF($A40="","",EDATE(in_Start,$A40)-1)</f>
        <v>47026</v>
      </c>
      <c r="D40" s="33">
        <f t="shared" si="1"/>
        <v>187587.22935411613</v>
      </c>
      <c r="E40" s="33">
        <f>IF($A40="","",c_Dep)</f>
        <v>46896.807338529034</v>
      </c>
      <c r="F40" s="33">
        <f>IF($A40="","",SUM($E$8:E40))</f>
        <v>1547594.6421714581</v>
      </c>
      <c r="G40" s="33">
        <f>IF($A40="","",c_ROU-F40)</f>
        <v>140690.4220155871</v>
      </c>
      <c r="H40" s="31">
        <f t="shared" ref="H40:H71" si="2">IF($A40="","",INT(($A40-1)/12)+1)</f>
        <v>3</v>
      </c>
    </row>
    <row r="41" spans="1:8" x14ac:dyDescent="0.25">
      <c r="A41" s="31">
        <f>IF(A40="","",IF(A40+1&gt;in_Term,"",A40+1))</f>
        <v>34</v>
      </c>
      <c r="B41" s="32">
        <f>IF($A41="","",EDATE(in_Start,$A41-1))</f>
        <v>47027</v>
      </c>
      <c r="C41" s="32">
        <f>IF($A41="","",EDATE(in_Start,$A41)-1)</f>
        <v>47057</v>
      </c>
      <c r="D41" s="33">
        <f t="shared" ref="D41:D72" si="3">IF($A41="","",G40)</f>
        <v>140690.4220155871</v>
      </c>
      <c r="E41" s="33">
        <f>IF($A41="","",c_Dep)</f>
        <v>46896.807338529034</v>
      </c>
      <c r="F41" s="33">
        <f>IF($A41="","",SUM($E$8:E41))</f>
        <v>1594491.4495099871</v>
      </c>
      <c r="G41" s="33">
        <f>IF($A41="","",c_ROU-F41)</f>
        <v>93793.614677058067</v>
      </c>
      <c r="H41" s="31">
        <f t="shared" si="2"/>
        <v>3</v>
      </c>
    </row>
    <row r="42" spans="1:8" x14ac:dyDescent="0.25">
      <c r="A42" s="31">
        <f>IF(A41="","",IF(A41+1&gt;in_Term,"",A41+1))</f>
        <v>35</v>
      </c>
      <c r="B42" s="32">
        <f>IF($A42="","",EDATE(in_Start,$A42-1))</f>
        <v>47058</v>
      </c>
      <c r="C42" s="32">
        <f>IF($A42="","",EDATE(in_Start,$A42)-1)</f>
        <v>47087</v>
      </c>
      <c r="D42" s="33">
        <f t="shared" si="3"/>
        <v>93793.614677058067</v>
      </c>
      <c r="E42" s="33">
        <f>IF($A42="","",c_Dep)</f>
        <v>46896.807338529034</v>
      </c>
      <c r="F42" s="33">
        <f>IF($A42="","",SUM($E$8:E42))</f>
        <v>1641388.2568485162</v>
      </c>
      <c r="G42" s="33">
        <f>IF($A42="","",c_ROU-F42)</f>
        <v>46896.807338529034</v>
      </c>
      <c r="H42" s="31">
        <f t="shared" si="2"/>
        <v>3</v>
      </c>
    </row>
    <row r="43" spans="1:8" x14ac:dyDescent="0.25">
      <c r="A43" s="31">
        <f>IF(A42="","",IF(A42+1&gt;in_Term,"",A42+1))</f>
        <v>36</v>
      </c>
      <c r="B43" s="32">
        <f>IF($A43="","",EDATE(in_Start,$A43-1))</f>
        <v>47088</v>
      </c>
      <c r="C43" s="32">
        <f>IF($A43="","",EDATE(in_Start,$A43)-1)</f>
        <v>47118</v>
      </c>
      <c r="D43" s="33">
        <f t="shared" si="3"/>
        <v>46896.807338529034</v>
      </c>
      <c r="E43" s="33">
        <f>IF($A43="","",c_Dep)</f>
        <v>46896.807338529034</v>
      </c>
      <c r="F43" s="33">
        <f>IF($A43="","",SUM($E$8:E43))</f>
        <v>1688285.0641870452</v>
      </c>
      <c r="G43" s="33">
        <f>IF($A43="","",c_ROU-F43)</f>
        <v>0</v>
      </c>
      <c r="H43" s="31">
        <f t="shared" si="2"/>
        <v>3</v>
      </c>
    </row>
    <row r="44" spans="1:8" x14ac:dyDescent="0.25">
      <c r="A44" s="31" t="str">
        <f>IF(A43="","",IF(A43+1&gt;in_Term,"",A43+1))</f>
        <v/>
      </c>
      <c r="B44" s="32" t="str">
        <f>IF($A44="","",EDATE(in_Start,$A44-1))</f>
        <v/>
      </c>
      <c r="C44" s="32" t="str">
        <f>IF($A44="","",EDATE(in_Start,$A44)-1)</f>
        <v/>
      </c>
      <c r="D44" s="33" t="str">
        <f t="shared" si="3"/>
        <v/>
      </c>
      <c r="E44" s="33" t="str">
        <f>IF($A44="","",c_Dep)</f>
        <v/>
      </c>
      <c r="F44" s="33" t="str">
        <f>IF($A44="","",SUM($E$8:E44))</f>
        <v/>
      </c>
      <c r="G44" s="33" t="str">
        <f>IF($A44="","",c_ROU-F44)</f>
        <v/>
      </c>
      <c r="H44" s="31" t="str">
        <f t="shared" si="2"/>
        <v/>
      </c>
    </row>
    <row r="45" spans="1:8" x14ac:dyDescent="0.25">
      <c r="A45" s="31" t="str">
        <f>IF(A44="","",IF(A44+1&gt;in_Term,"",A44+1))</f>
        <v/>
      </c>
      <c r="B45" s="32" t="str">
        <f>IF($A45="","",EDATE(in_Start,$A45-1))</f>
        <v/>
      </c>
      <c r="C45" s="32" t="str">
        <f>IF($A45="","",EDATE(in_Start,$A45)-1)</f>
        <v/>
      </c>
      <c r="D45" s="33" t="str">
        <f t="shared" si="3"/>
        <v/>
      </c>
      <c r="E45" s="33" t="str">
        <f>IF($A45="","",c_Dep)</f>
        <v/>
      </c>
      <c r="F45" s="33" t="str">
        <f>IF($A45="","",SUM($E$8:E45))</f>
        <v/>
      </c>
      <c r="G45" s="33" t="str">
        <f>IF($A45="","",c_ROU-F45)</f>
        <v/>
      </c>
      <c r="H45" s="31" t="str">
        <f t="shared" si="2"/>
        <v/>
      </c>
    </row>
    <row r="46" spans="1:8" x14ac:dyDescent="0.25">
      <c r="A46" s="31" t="str">
        <f>IF(A45="","",IF(A45+1&gt;in_Term,"",A45+1))</f>
        <v/>
      </c>
      <c r="B46" s="32" t="str">
        <f>IF($A46="","",EDATE(in_Start,$A46-1))</f>
        <v/>
      </c>
      <c r="C46" s="32" t="str">
        <f>IF($A46="","",EDATE(in_Start,$A46)-1)</f>
        <v/>
      </c>
      <c r="D46" s="33" t="str">
        <f t="shared" si="3"/>
        <v/>
      </c>
      <c r="E46" s="33" t="str">
        <f>IF($A46="","",c_Dep)</f>
        <v/>
      </c>
      <c r="F46" s="33" t="str">
        <f>IF($A46="","",SUM($E$8:E46))</f>
        <v/>
      </c>
      <c r="G46" s="33" t="str">
        <f>IF($A46="","",c_ROU-F46)</f>
        <v/>
      </c>
      <c r="H46" s="31" t="str">
        <f t="shared" si="2"/>
        <v/>
      </c>
    </row>
    <row r="47" spans="1:8" x14ac:dyDescent="0.25">
      <c r="A47" s="31" t="str">
        <f>IF(A46="","",IF(A46+1&gt;in_Term,"",A46+1))</f>
        <v/>
      </c>
      <c r="B47" s="32" t="str">
        <f>IF($A47="","",EDATE(in_Start,$A47-1))</f>
        <v/>
      </c>
      <c r="C47" s="32" t="str">
        <f>IF($A47="","",EDATE(in_Start,$A47)-1)</f>
        <v/>
      </c>
      <c r="D47" s="33" t="str">
        <f t="shared" si="3"/>
        <v/>
      </c>
      <c r="E47" s="33" t="str">
        <f>IF($A47="","",c_Dep)</f>
        <v/>
      </c>
      <c r="F47" s="33" t="str">
        <f>IF($A47="","",SUM($E$8:E47))</f>
        <v/>
      </c>
      <c r="G47" s="33" t="str">
        <f>IF($A47="","",c_ROU-F47)</f>
        <v/>
      </c>
      <c r="H47" s="31" t="str">
        <f t="shared" si="2"/>
        <v/>
      </c>
    </row>
    <row r="48" spans="1:8" x14ac:dyDescent="0.25">
      <c r="A48" s="31" t="str">
        <f>IF(A47="","",IF(A47+1&gt;in_Term,"",A47+1))</f>
        <v/>
      </c>
      <c r="B48" s="32" t="str">
        <f>IF($A48="","",EDATE(in_Start,$A48-1))</f>
        <v/>
      </c>
      <c r="C48" s="32" t="str">
        <f>IF($A48="","",EDATE(in_Start,$A48)-1)</f>
        <v/>
      </c>
      <c r="D48" s="33" t="str">
        <f t="shared" si="3"/>
        <v/>
      </c>
      <c r="E48" s="33" t="str">
        <f>IF($A48="","",c_Dep)</f>
        <v/>
      </c>
      <c r="F48" s="33" t="str">
        <f>IF($A48="","",SUM($E$8:E48))</f>
        <v/>
      </c>
      <c r="G48" s="33" t="str">
        <f>IF($A48="","",c_ROU-F48)</f>
        <v/>
      </c>
      <c r="H48" s="31" t="str">
        <f t="shared" si="2"/>
        <v/>
      </c>
    </row>
    <row r="49" spans="1:8" x14ac:dyDescent="0.25">
      <c r="A49" s="31" t="str">
        <f>IF(A48="","",IF(A48+1&gt;in_Term,"",A48+1))</f>
        <v/>
      </c>
      <c r="B49" s="32" t="str">
        <f>IF($A49="","",EDATE(in_Start,$A49-1))</f>
        <v/>
      </c>
      <c r="C49" s="32" t="str">
        <f>IF($A49="","",EDATE(in_Start,$A49)-1)</f>
        <v/>
      </c>
      <c r="D49" s="33" t="str">
        <f t="shared" si="3"/>
        <v/>
      </c>
      <c r="E49" s="33" t="str">
        <f>IF($A49="","",c_Dep)</f>
        <v/>
      </c>
      <c r="F49" s="33" t="str">
        <f>IF($A49="","",SUM($E$8:E49))</f>
        <v/>
      </c>
      <c r="G49" s="33" t="str">
        <f>IF($A49="","",c_ROU-F49)</f>
        <v/>
      </c>
      <c r="H49" s="31" t="str">
        <f t="shared" si="2"/>
        <v/>
      </c>
    </row>
    <row r="50" spans="1:8" x14ac:dyDescent="0.25">
      <c r="A50" s="31" t="str">
        <f>IF(A49="","",IF(A49+1&gt;in_Term,"",A49+1))</f>
        <v/>
      </c>
      <c r="B50" s="32" t="str">
        <f>IF($A50="","",EDATE(in_Start,$A50-1))</f>
        <v/>
      </c>
      <c r="C50" s="32" t="str">
        <f>IF($A50="","",EDATE(in_Start,$A50)-1)</f>
        <v/>
      </c>
      <c r="D50" s="33" t="str">
        <f t="shared" si="3"/>
        <v/>
      </c>
      <c r="E50" s="33" t="str">
        <f>IF($A50="","",c_Dep)</f>
        <v/>
      </c>
      <c r="F50" s="33" t="str">
        <f>IF($A50="","",SUM($E$8:E50))</f>
        <v/>
      </c>
      <c r="G50" s="33" t="str">
        <f>IF($A50="","",c_ROU-F50)</f>
        <v/>
      </c>
      <c r="H50" s="31" t="str">
        <f t="shared" si="2"/>
        <v/>
      </c>
    </row>
    <row r="51" spans="1:8" x14ac:dyDescent="0.25">
      <c r="A51" s="31" t="str">
        <f>IF(A50="","",IF(A50+1&gt;in_Term,"",A50+1))</f>
        <v/>
      </c>
      <c r="B51" s="32" t="str">
        <f>IF($A51="","",EDATE(in_Start,$A51-1))</f>
        <v/>
      </c>
      <c r="C51" s="32" t="str">
        <f>IF($A51="","",EDATE(in_Start,$A51)-1)</f>
        <v/>
      </c>
      <c r="D51" s="33" t="str">
        <f t="shared" si="3"/>
        <v/>
      </c>
      <c r="E51" s="33" t="str">
        <f>IF($A51="","",c_Dep)</f>
        <v/>
      </c>
      <c r="F51" s="33" t="str">
        <f>IF($A51="","",SUM($E$8:E51))</f>
        <v/>
      </c>
      <c r="G51" s="33" t="str">
        <f>IF($A51="","",c_ROU-F51)</f>
        <v/>
      </c>
      <c r="H51" s="31" t="str">
        <f t="shared" si="2"/>
        <v/>
      </c>
    </row>
    <row r="52" spans="1:8" x14ac:dyDescent="0.25">
      <c r="A52" s="31" t="str">
        <f>IF(A51="","",IF(A51+1&gt;in_Term,"",A51+1))</f>
        <v/>
      </c>
      <c r="B52" s="32" t="str">
        <f>IF($A52="","",EDATE(in_Start,$A52-1))</f>
        <v/>
      </c>
      <c r="C52" s="32" t="str">
        <f>IF($A52="","",EDATE(in_Start,$A52)-1)</f>
        <v/>
      </c>
      <c r="D52" s="33" t="str">
        <f t="shared" si="3"/>
        <v/>
      </c>
      <c r="E52" s="33" t="str">
        <f>IF($A52="","",c_Dep)</f>
        <v/>
      </c>
      <c r="F52" s="33" t="str">
        <f>IF($A52="","",SUM($E$8:E52))</f>
        <v/>
      </c>
      <c r="G52" s="33" t="str">
        <f>IF($A52="","",c_ROU-F52)</f>
        <v/>
      </c>
      <c r="H52" s="31" t="str">
        <f t="shared" si="2"/>
        <v/>
      </c>
    </row>
    <row r="53" spans="1:8" x14ac:dyDescent="0.25">
      <c r="A53" s="31" t="str">
        <f>IF(A52="","",IF(A52+1&gt;in_Term,"",A52+1))</f>
        <v/>
      </c>
      <c r="B53" s="32" t="str">
        <f>IF($A53="","",EDATE(in_Start,$A53-1))</f>
        <v/>
      </c>
      <c r="C53" s="32" t="str">
        <f>IF($A53="","",EDATE(in_Start,$A53)-1)</f>
        <v/>
      </c>
      <c r="D53" s="33" t="str">
        <f t="shared" si="3"/>
        <v/>
      </c>
      <c r="E53" s="33" t="str">
        <f>IF($A53="","",c_Dep)</f>
        <v/>
      </c>
      <c r="F53" s="33" t="str">
        <f>IF($A53="","",SUM($E$8:E53))</f>
        <v/>
      </c>
      <c r="G53" s="33" t="str">
        <f>IF($A53="","",c_ROU-F53)</f>
        <v/>
      </c>
      <c r="H53" s="31" t="str">
        <f t="shared" si="2"/>
        <v/>
      </c>
    </row>
    <row r="54" spans="1:8" x14ac:dyDescent="0.25">
      <c r="A54" s="31" t="str">
        <f>IF(A53="","",IF(A53+1&gt;in_Term,"",A53+1))</f>
        <v/>
      </c>
      <c r="B54" s="32" t="str">
        <f>IF($A54="","",EDATE(in_Start,$A54-1))</f>
        <v/>
      </c>
      <c r="C54" s="32" t="str">
        <f>IF($A54="","",EDATE(in_Start,$A54)-1)</f>
        <v/>
      </c>
      <c r="D54" s="33" t="str">
        <f t="shared" si="3"/>
        <v/>
      </c>
      <c r="E54" s="33" t="str">
        <f>IF($A54="","",c_Dep)</f>
        <v/>
      </c>
      <c r="F54" s="33" t="str">
        <f>IF($A54="","",SUM($E$8:E54))</f>
        <v/>
      </c>
      <c r="G54" s="33" t="str">
        <f>IF($A54="","",c_ROU-F54)</f>
        <v/>
      </c>
      <c r="H54" s="31" t="str">
        <f t="shared" si="2"/>
        <v/>
      </c>
    </row>
    <row r="55" spans="1:8" x14ac:dyDescent="0.25">
      <c r="A55" s="31" t="str">
        <f>IF(A54="","",IF(A54+1&gt;in_Term,"",A54+1))</f>
        <v/>
      </c>
      <c r="B55" s="32" t="str">
        <f>IF($A55="","",EDATE(in_Start,$A55-1))</f>
        <v/>
      </c>
      <c r="C55" s="32" t="str">
        <f>IF($A55="","",EDATE(in_Start,$A55)-1)</f>
        <v/>
      </c>
      <c r="D55" s="33" t="str">
        <f t="shared" si="3"/>
        <v/>
      </c>
      <c r="E55" s="33" t="str">
        <f>IF($A55="","",c_Dep)</f>
        <v/>
      </c>
      <c r="F55" s="33" t="str">
        <f>IF($A55="","",SUM($E$8:E55))</f>
        <v/>
      </c>
      <c r="G55" s="33" t="str">
        <f>IF($A55="","",c_ROU-F55)</f>
        <v/>
      </c>
      <c r="H55" s="31" t="str">
        <f t="shared" si="2"/>
        <v/>
      </c>
    </row>
    <row r="56" spans="1:8" x14ac:dyDescent="0.25">
      <c r="A56" s="31" t="str">
        <f>IF(A55="","",IF(A55+1&gt;in_Term,"",A55+1))</f>
        <v/>
      </c>
      <c r="B56" s="32" t="str">
        <f>IF($A56="","",EDATE(in_Start,$A56-1))</f>
        <v/>
      </c>
      <c r="C56" s="32" t="str">
        <f>IF($A56="","",EDATE(in_Start,$A56)-1)</f>
        <v/>
      </c>
      <c r="D56" s="33" t="str">
        <f t="shared" si="3"/>
        <v/>
      </c>
      <c r="E56" s="33" t="str">
        <f>IF($A56="","",c_Dep)</f>
        <v/>
      </c>
      <c r="F56" s="33" t="str">
        <f>IF($A56="","",SUM($E$8:E56))</f>
        <v/>
      </c>
      <c r="G56" s="33" t="str">
        <f>IF($A56="","",c_ROU-F56)</f>
        <v/>
      </c>
      <c r="H56" s="31" t="str">
        <f t="shared" si="2"/>
        <v/>
      </c>
    </row>
    <row r="57" spans="1:8" x14ac:dyDescent="0.25">
      <c r="A57" s="31" t="str">
        <f>IF(A56="","",IF(A56+1&gt;in_Term,"",A56+1))</f>
        <v/>
      </c>
      <c r="B57" s="32" t="str">
        <f>IF($A57="","",EDATE(in_Start,$A57-1))</f>
        <v/>
      </c>
      <c r="C57" s="32" t="str">
        <f>IF($A57="","",EDATE(in_Start,$A57)-1)</f>
        <v/>
      </c>
      <c r="D57" s="33" t="str">
        <f t="shared" si="3"/>
        <v/>
      </c>
      <c r="E57" s="33" t="str">
        <f>IF($A57="","",c_Dep)</f>
        <v/>
      </c>
      <c r="F57" s="33" t="str">
        <f>IF($A57="","",SUM($E$8:E57))</f>
        <v/>
      </c>
      <c r="G57" s="33" t="str">
        <f>IF($A57="","",c_ROU-F57)</f>
        <v/>
      </c>
      <c r="H57" s="31" t="str">
        <f t="shared" si="2"/>
        <v/>
      </c>
    </row>
    <row r="58" spans="1:8" x14ac:dyDescent="0.25">
      <c r="A58" s="31" t="str">
        <f>IF(A57="","",IF(A57+1&gt;in_Term,"",A57+1))</f>
        <v/>
      </c>
      <c r="B58" s="32" t="str">
        <f>IF($A58="","",EDATE(in_Start,$A58-1))</f>
        <v/>
      </c>
      <c r="C58" s="32" t="str">
        <f>IF($A58="","",EDATE(in_Start,$A58)-1)</f>
        <v/>
      </c>
      <c r="D58" s="33" t="str">
        <f t="shared" si="3"/>
        <v/>
      </c>
      <c r="E58" s="33" t="str">
        <f>IF($A58="","",c_Dep)</f>
        <v/>
      </c>
      <c r="F58" s="33" t="str">
        <f>IF($A58="","",SUM($E$8:E58))</f>
        <v/>
      </c>
      <c r="G58" s="33" t="str">
        <f>IF($A58="","",c_ROU-F58)</f>
        <v/>
      </c>
      <c r="H58" s="31" t="str">
        <f t="shared" si="2"/>
        <v/>
      </c>
    </row>
    <row r="59" spans="1:8" x14ac:dyDescent="0.25">
      <c r="A59" s="31" t="str">
        <f>IF(A58="","",IF(A58+1&gt;in_Term,"",A58+1))</f>
        <v/>
      </c>
      <c r="B59" s="32" t="str">
        <f>IF($A59="","",EDATE(in_Start,$A59-1))</f>
        <v/>
      </c>
      <c r="C59" s="32" t="str">
        <f>IF($A59="","",EDATE(in_Start,$A59)-1)</f>
        <v/>
      </c>
      <c r="D59" s="33" t="str">
        <f t="shared" si="3"/>
        <v/>
      </c>
      <c r="E59" s="33" t="str">
        <f>IF($A59="","",c_Dep)</f>
        <v/>
      </c>
      <c r="F59" s="33" t="str">
        <f>IF($A59="","",SUM($E$8:E59))</f>
        <v/>
      </c>
      <c r="G59" s="33" t="str">
        <f>IF($A59="","",c_ROU-F59)</f>
        <v/>
      </c>
      <c r="H59" s="31" t="str">
        <f t="shared" si="2"/>
        <v/>
      </c>
    </row>
    <row r="60" spans="1:8" x14ac:dyDescent="0.25">
      <c r="A60" s="31" t="str">
        <f>IF(A59="","",IF(A59+1&gt;in_Term,"",A59+1))</f>
        <v/>
      </c>
      <c r="B60" s="32" t="str">
        <f>IF($A60="","",EDATE(in_Start,$A60-1))</f>
        <v/>
      </c>
      <c r="C60" s="32" t="str">
        <f>IF($A60="","",EDATE(in_Start,$A60)-1)</f>
        <v/>
      </c>
      <c r="D60" s="33" t="str">
        <f t="shared" si="3"/>
        <v/>
      </c>
      <c r="E60" s="33" t="str">
        <f>IF($A60="","",c_Dep)</f>
        <v/>
      </c>
      <c r="F60" s="33" t="str">
        <f>IF($A60="","",SUM($E$8:E60))</f>
        <v/>
      </c>
      <c r="G60" s="33" t="str">
        <f>IF($A60="","",c_ROU-F60)</f>
        <v/>
      </c>
      <c r="H60" s="31" t="str">
        <f t="shared" si="2"/>
        <v/>
      </c>
    </row>
    <row r="61" spans="1:8" x14ac:dyDescent="0.25">
      <c r="A61" s="31" t="str">
        <f>IF(A60="","",IF(A60+1&gt;in_Term,"",A60+1))</f>
        <v/>
      </c>
      <c r="B61" s="32" t="str">
        <f>IF($A61="","",EDATE(in_Start,$A61-1))</f>
        <v/>
      </c>
      <c r="C61" s="32" t="str">
        <f>IF($A61="","",EDATE(in_Start,$A61)-1)</f>
        <v/>
      </c>
      <c r="D61" s="33" t="str">
        <f t="shared" si="3"/>
        <v/>
      </c>
      <c r="E61" s="33" t="str">
        <f>IF($A61="","",c_Dep)</f>
        <v/>
      </c>
      <c r="F61" s="33" t="str">
        <f>IF($A61="","",SUM($E$8:E61))</f>
        <v/>
      </c>
      <c r="G61" s="33" t="str">
        <f>IF($A61="","",c_ROU-F61)</f>
        <v/>
      </c>
      <c r="H61" s="31" t="str">
        <f t="shared" si="2"/>
        <v/>
      </c>
    </row>
    <row r="62" spans="1:8" x14ac:dyDescent="0.25">
      <c r="A62" s="31" t="str">
        <f>IF(A61="","",IF(A61+1&gt;in_Term,"",A61+1))</f>
        <v/>
      </c>
      <c r="B62" s="32" t="str">
        <f>IF($A62="","",EDATE(in_Start,$A62-1))</f>
        <v/>
      </c>
      <c r="C62" s="32" t="str">
        <f>IF($A62="","",EDATE(in_Start,$A62)-1)</f>
        <v/>
      </c>
      <c r="D62" s="33" t="str">
        <f t="shared" si="3"/>
        <v/>
      </c>
      <c r="E62" s="33" t="str">
        <f>IF($A62="","",c_Dep)</f>
        <v/>
      </c>
      <c r="F62" s="33" t="str">
        <f>IF($A62="","",SUM($E$8:E62))</f>
        <v/>
      </c>
      <c r="G62" s="33" t="str">
        <f>IF($A62="","",c_ROU-F62)</f>
        <v/>
      </c>
      <c r="H62" s="31" t="str">
        <f t="shared" si="2"/>
        <v/>
      </c>
    </row>
    <row r="63" spans="1:8" x14ac:dyDescent="0.25">
      <c r="A63" s="31" t="str">
        <f>IF(A62="","",IF(A62+1&gt;in_Term,"",A62+1))</f>
        <v/>
      </c>
      <c r="B63" s="32" t="str">
        <f>IF($A63="","",EDATE(in_Start,$A63-1))</f>
        <v/>
      </c>
      <c r="C63" s="32" t="str">
        <f>IF($A63="","",EDATE(in_Start,$A63)-1)</f>
        <v/>
      </c>
      <c r="D63" s="33" t="str">
        <f t="shared" si="3"/>
        <v/>
      </c>
      <c r="E63" s="33" t="str">
        <f>IF($A63="","",c_Dep)</f>
        <v/>
      </c>
      <c r="F63" s="33" t="str">
        <f>IF($A63="","",SUM($E$8:E63))</f>
        <v/>
      </c>
      <c r="G63" s="33" t="str">
        <f>IF($A63="","",c_ROU-F63)</f>
        <v/>
      </c>
      <c r="H63" s="31" t="str">
        <f t="shared" si="2"/>
        <v/>
      </c>
    </row>
    <row r="64" spans="1:8" x14ac:dyDescent="0.25">
      <c r="A64" s="31" t="str">
        <f>IF(A63="","",IF(A63+1&gt;in_Term,"",A63+1))</f>
        <v/>
      </c>
      <c r="B64" s="32" t="str">
        <f>IF($A64="","",EDATE(in_Start,$A64-1))</f>
        <v/>
      </c>
      <c r="C64" s="32" t="str">
        <f>IF($A64="","",EDATE(in_Start,$A64)-1)</f>
        <v/>
      </c>
      <c r="D64" s="33" t="str">
        <f t="shared" si="3"/>
        <v/>
      </c>
      <c r="E64" s="33" t="str">
        <f>IF($A64="","",c_Dep)</f>
        <v/>
      </c>
      <c r="F64" s="33" t="str">
        <f>IF($A64="","",SUM($E$8:E64))</f>
        <v/>
      </c>
      <c r="G64" s="33" t="str">
        <f>IF($A64="","",c_ROU-F64)</f>
        <v/>
      </c>
      <c r="H64" s="31" t="str">
        <f t="shared" si="2"/>
        <v/>
      </c>
    </row>
    <row r="65" spans="1:8" x14ac:dyDescent="0.25">
      <c r="A65" s="31" t="str">
        <f>IF(A64="","",IF(A64+1&gt;in_Term,"",A64+1))</f>
        <v/>
      </c>
      <c r="B65" s="32" t="str">
        <f>IF($A65="","",EDATE(in_Start,$A65-1))</f>
        <v/>
      </c>
      <c r="C65" s="32" t="str">
        <f>IF($A65="","",EDATE(in_Start,$A65)-1)</f>
        <v/>
      </c>
      <c r="D65" s="33" t="str">
        <f t="shared" si="3"/>
        <v/>
      </c>
      <c r="E65" s="33" t="str">
        <f>IF($A65="","",c_Dep)</f>
        <v/>
      </c>
      <c r="F65" s="33" t="str">
        <f>IF($A65="","",SUM($E$8:E65))</f>
        <v/>
      </c>
      <c r="G65" s="33" t="str">
        <f>IF($A65="","",c_ROU-F65)</f>
        <v/>
      </c>
      <c r="H65" s="31" t="str">
        <f t="shared" si="2"/>
        <v/>
      </c>
    </row>
    <row r="66" spans="1:8" x14ac:dyDescent="0.25">
      <c r="A66" s="31" t="str">
        <f>IF(A65="","",IF(A65+1&gt;in_Term,"",A65+1))</f>
        <v/>
      </c>
      <c r="B66" s="32" t="str">
        <f>IF($A66="","",EDATE(in_Start,$A66-1))</f>
        <v/>
      </c>
      <c r="C66" s="32" t="str">
        <f>IF($A66="","",EDATE(in_Start,$A66)-1)</f>
        <v/>
      </c>
      <c r="D66" s="33" t="str">
        <f t="shared" si="3"/>
        <v/>
      </c>
      <c r="E66" s="33" t="str">
        <f>IF($A66="","",c_Dep)</f>
        <v/>
      </c>
      <c r="F66" s="33" t="str">
        <f>IF($A66="","",SUM($E$8:E66))</f>
        <v/>
      </c>
      <c r="G66" s="33" t="str">
        <f>IF($A66="","",c_ROU-F66)</f>
        <v/>
      </c>
      <c r="H66" s="31" t="str">
        <f t="shared" si="2"/>
        <v/>
      </c>
    </row>
    <row r="67" spans="1:8" x14ac:dyDescent="0.25">
      <c r="A67" s="31" t="str">
        <f>IF(A66="","",IF(A66+1&gt;in_Term,"",A66+1))</f>
        <v/>
      </c>
      <c r="B67" s="32" t="str">
        <f>IF($A67="","",EDATE(in_Start,$A67-1))</f>
        <v/>
      </c>
      <c r="C67" s="32" t="str">
        <f>IF($A67="","",EDATE(in_Start,$A67)-1)</f>
        <v/>
      </c>
      <c r="D67" s="33" t="str">
        <f t="shared" si="3"/>
        <v/>
      </c>
      <c r="E67" s="33" t="str">
        <f>IF($A67="","",c_Dep)</f>
        <v/>
      </c>
      <c r="F67" s="33" t="str">
        <f>IF($A67="","",SUM($E$8:E67))</f>
        <v/>
      </c>
      <c r="G67" s="33" t="str">
        <f>IF($A67="","",c_ROU-F67)</f>
        <v/>
      </c>
      <c r="H67" s="31" t="str">
        <f t="shared" si="2"/>
        <v/>
      </c>
    </row>
    <row r="68" spans="1:8" x14ac:dyDescent="0.25">
      <c r="A68" s="31" t="str">
        <f>IF(A67="","",IF(A67+1&gt;in_Term,"",A67+1))</f>
        <v/>
      </c>
      <c r="B68" s="32" t="str">
        <f>IF($A68="","",EDATE(in_Start,$A68-1))</f>
        <v/>
      </c>
      <c r="C68" s="32" t="str">
        <f>IF($A68="","",EDATE(in_Start,$A68)-1)</f>
        <v/>
      </c>
      <c r="D68" s="33" t="str">
        <f t="shared" si="3"/>
        <v/>
      </c>
      <c r="E68" s="33" t="str">
        <f>IF($A68="","",c_Dep)</f>
        <v/>
      </c>
      <c r="F68" s="33" t="str">
        <f>IF($A68="","",SUM($E$8:E68))</f>
        <v/>
      </c>
      <c r="G68" s="33" t="str">
        <f>IF($A68="","",c_ROU-F68)</f>
        <v/>
      </c>
      <c r="H68" s="31" t="str">
        <f t="shared" si="2"/>
        <v/>
      </c>
    </row>
    <row r="69" spans="1:8" x14ac:dyDescent="0.25">
      <c r="A69" s="31" t="str">
        <f>IF(A68="","",IF(A68+1&gt;in_Term,"",A68+1))</f>
        <v/>
      </c>
      <c r="B69" s="32" t="str">
        <f>IF($A69="","",EDATE(in_Start,$A69-1))</f>
        <v/>
      </c>
      <c r="C69" s="32" t="str">
        <f>IF($A69="","",EDATE(in_Start,$A69)-1)</f>
        <v/>
      </c>
      <c r="D69" s="33" t="str">
        <f t="shared" si="3"/>
        <v/>
      </c>
      <c r="E69" s="33" t="str">
        <f>IF($A69="","",c_Dep)</f>
        <v/>
      </c>
      <c r="F69" s="33" t="str">
        <f>IF($A69="","",SUM($E$8:E69))</f>
        <v/>
      </c>
      <c r="G69" s="33" t="str">
        <f>IF($A69="","",c_ROU-F69)</f>
        <v/>
      </c>
      <c r="H69" s="31" t="str">
        <f t="shared" si="2"/>
        <v/>
      </c>
    </row>
    <row r="70" spans="1:8" x14ac:dyDescent="0.25">
      <c r="A70" s="31" t="str">
        <f>IF(A69="","",IF(A69+1&gt;in_Term,"",A69+1))</f>
        <v/>
      </c>
      <c r="B70" s="32" t="str">
        <f>IF($A70="","",EDATE(in_Start,$A70-1))</f>
        <v/>
      </c>
      <c r="C70" s="32" t="str">
        <f>IF($A70="","",EDATE(in_Start,$A70)-1)</f>
        <v/>
      </c>
      <c r="D70" s="33" t="str">
        <f t="shared" si="3"/>
        <v/>
      </c>
      <c r="E70" s="33" t="str">
        <f>IF($A70="","",c_Dep)</f>
        <v/>
      </c>
      <c r="F70" s="33" t="str">
        <f>IF($A70="","",SUM($E$8:E70))</f>
        <v/>
      </c>
      <c r="G70" s="33" t="str">
        <f>IF($A70="","",c_ROU-F70)</f>
        <v/>
      </c>
      <c r="H70" s="31" t="str">
        <f t="shared" si="2"/>
        <v/>
      </c>
    </row>
    <row r="71" spans="1:8" x14ac:dyDescent="0.25">
      <c r="A71" s="31" t="str">
        <f>IF(A70="","",IF(A70+1&gt;in_Term,"",A70+1))</f>
        <v/>
      </c>
      <c r="B71" s="32" t="str">
        <f>IF($A71="","",EDATE(in_Start,$A71-1))</f>
        <v/>
      </c>
      <c r="C71" s="32" t="str">
        <f>IF($A71="","",EDATE(in_Start,$A71)-1)</f>
        <v/>
      </c>
      <c r="D71" s="33" t="str">
        <f t="shared" si="3"/>
        <v/>
      </c>
      <c r="E71" s="33" t="str">
        <f>IF($A71="","",c_Dep)</f>
        <v/>
      </c>
      <c r="F71" s="33" t="str">
        <f>IF($A71="","",SUM($E$8:E71))</f>
        <v/>
      </c>
      <c r="G71" s="33" t="str">
        <f>IF($A71="","",c_ROU-F71)</f>
        <v/>
      </c>
      <c r="H71" s="31" t="str">
        <f t="shared" si="2"/>
        <v/>
      </c>
    </row>
    <row r="72" spans="1:8" x14ac:dyDescent="0.25">
      <c r="A72" s="31" t="str">
        <f>IF(A71="","",IF(A71+1&gt;in_Term,"",A71+1))</f>
        <v/>
      </c>
      <c r="B72" s="32" t="str">
        <f>IF($A72="","",EDATE(in_Start,$A72-1))</f>
        <v/>
      </c>
      <c r="C72" s="32" t="str">
        <f>IF($A72="","",EDATE(in_Start,$A72)-1)</f>
        <v/>
      </c>
      <c r="D72" s="33" t="str">
        <f t="shared" si="3"/>
        <v/>
      </c>
      <c r="E72" s="33" t="str">
        <f>IF($A72="","",c_Dep)</f>
        <v/>
      </c>
      <c r="F72" s="33" t="str">
        <f>IF($A72="","",SUM($E$8:E72))</f>
        <v/>
      </c>
      <c r="G72" s="33" t="str">
        <f>IF($A72="","",c_ROU-F72)</f>
        <v/>
      </c>
      <c r="H72" s="31" t="str">
        <f t="shared" ref="H72:H103" si="4">IF($A72="","",INT(($A72-1)/12)+1)</f>
        <v/>
      </c>
    </row>
    <row r="73" spans="1:8" x14ac:dyDescent="0.25">
      <c r="A73" s="31" t="str">
        <f>IF(A72="","",IF(A72+1&gt;in_Term,"",A72+1))</f>
        <v/>
      </c>
      <c r="B73" s="32" t="str">
        <f>IF($A73="","",EDATE(in_Start,$A73-1))</f>
        <v/>
      </c>
      <c r="C73" s="32" t="str">
        <f>IF($A73="","",EDATE(in_Start,$A73)-1)</f>
        <v/>
      </c>
      <c r="D73" s="33" t="str">
        <f t="shared" ref="D73:D104" si="5">IF($A73="","",G72)</f>
        <v/>
      </c>
      <c r="E73" s="33" t="str">
        <f>IF($A73="","",c_Dep)</f>
        <v/>
      </c>
      <c r="F73" s="33" t="str">
        <f>IF($A73="","",SUM($E$8:E73))</f>
        <v/>
      </c>
      <c r="G73" s="33" t="str">
        <f>IF($A73="","",c_ROU-F73)</f>
        <v/>
      </c>
      <c r="H73" s="31" t="str">
        <f t="shared" si="4"/>
        <v/>
      </c>
    </row>
    <row r="74" spans="1:8" x14ac:dyDescent="0.25">
      <c r="A74" s="31" t="str">
        <f>IF(A73="","",IF(A73+1&gt;in_Term,"",A73+1))</f>
        <v/>
      </c>
      <c r="B74" s="32" t="str">
        <f>IF($A74="","",EDATE(in_Start,$A74-1))</f>
        <v/>
      </c>
      <c r="C74" s="32" t="str">
        <f>IF($A74="","",EDATE(in_Start,$A74)-1)</f>
        <v/>
      </c>
      <c r="D74" s="33" t="str">
        <f t="shared" si="5"/>
        <v/>
      </c>
      <c r="E74" s="33" t="str">
        <f>IF($A74="","",c_Dep)</f>
        <v/>
      </c>
      <c r="F74" s="33" t="str">
        <f>IF($A74="","",SUM($E$8:E74))</f>
        <v/>
      </c>
      <c r="G74" s="33" t="str">
        <f>IF($A74="","",c_ROU-F74)</f>
        <v/>
      </c>
      <c r="H74" s="31" t="str">
        <f t="shared" si="4"/>
        <v/>
      </c>
    </row>
    <row r="75" spans="1:8" x14ac:dyDescent="0.25">
      <c r="A75" s="31" t="str">
        <f>IF(A74="","",IF(A74+1&gt;in_Term,"",A74+1))</f>
        <v/>
      </c>
      <c r="B75" s="32" t="str">
        <f>IF($A75="","",EDATE(in_Start,$A75-1))</f>
        <v/>
      </c>
      <c r="C75" s="32" t="str">
        <f>IF($A75="","",EDATE(in_Start,$A75)-1)</f>
        <v/>
      </c>
      <c r="D75" s="33" t="str">
        <f t="shared" si="5"/>
        <v/>
      </c>
      <c r="E75" s="33" t="str">
        <f>IF($A75="","",c_Dep)</f>
        <v/>
      </c>
      <c r="F75" s="33" t="str">
        <f>IF($A75="","",SUM($E$8:E75))</f>
        <v/>
      </c>
      <c r="G75" s="33" t="str">
        <f>IF($A75="","",c_ROU-F75)</f>
        <v/>
      </c>
      <c r="H75" s="31" t="str">
        <f t="shared" si="4"/>
        <v/>
      </c>
    </row>
    <row r="76" spans="1:8" x14ac:dyDescent="0.25">
      <c r="A76" s="31" t="str">
        <f>IF(A75="","",IF(A75+1&gt;in_Term,"",A75+1))</f>
        <v/>
      </c>
      <c r="B76" s="32" t="str">
        <f>IF($A76="","",EDATE(in_Start,$A76-1))</f>
        <v/>
      </c>
      <c r="C76" s="32" t="str">
        <f>IF($A76="","",EDATE(in_Start,$A76)-1)</f>
        <v/>
      </c>
      <c r="D76" s="33" t="str">
        <f t="shared" si="5"/>
        <v/>
      </c>
      <c r="E76" s="33" t="str">
        <f>IF($A76="","",c_Dep)</f>
        <v/>
      </c>
      <c r="F76" s="33" t="str">
        <f>IF($A76="","",SUM($E$8:E76))</f>
        <v/>
      </c>
      <c r="G76" s="33" t="str">
        <f>IF($A76="","",c_ROU-F76)</f>
        <v/>
      </c>
      <c r="H76" s="31" t="str">
        <f t="shared" si="4"/>
        <v/>
      </c>
    </row>
    <row r="77" spans="1:8" x14ac:dyDescent="0.25">
      <c r="A77" s="31" t="str">
        <f>IF(A76="","",IF(A76+1&gt;in_Term,"",A76+1))</f>
        <v/>
      </c>
      <c r="B77" s="32" t="str">
        <f>IF($A77="","",EDATE(in_Start,$A77-1))</f>
        <v/>
      </c>
      <c r="C77" s="32" t="str">
        <f>IF($A77="","",EDATE(in_Start,$A77)-1)</f>
        <v/>
      </c>
      <c r="D77" s="33" t="str">
        <f t="shared" si="5"/>
        <v/>
      </c>
      <c r="E77" s="33" t="str">
        <f>IF($A77="","",c_Dep)</f>
        <v/>
      </c>
      <c r="F77" s="33" t="str">
        <f>IF($A77="","",SUM($E$8:E77))</f>
        <v/>
      </c>
      <c r="G77" s="33" t="str">
        <f>IF($A77="","",c_ROU-F77)</f>
        <v/>
      </c>
      <c r="H77" s="31" t="str">
        <f t="shared" si="4"/>
        <v/>
      </c>
    </row>
    <row r="78" spans="1:8" x14ac:dyDescent="0.25">
      <c r="A78" s="31" t="str">
        <f>IF(A77="","",IF(A77+1&gt;in_Term,"",A77+1))</f>
        <v/>
      </c>
      <c r="B78" s="32" t="str">
        <f>IF($A78="","",EDATE(in_Start,$A78-1))</f>
        <v/>
      </c>
      <c r="C78" s="32" t="str">
        <f>IF($A78="","",EDATE(in_Start,$A78)-1)</f>
        <v/>
      </c>
      <c r="D78" s="33" t="str">
        <f t="shared" si="5"/>
        <v/>
      </c>
      <c r="E78" s="33" t="str">
        <f>IF($A78="","",c_Dep)</f>
        <v/>
      </c>
      <c r="F78" s="33" t="str">
        <f>IF($A78="","",SUM($E$8:E78))</f>
        <v/>
      </c>
      <c r="G78" s="33" t="str">
        <f>IF($A78="","",c_ROU-F78)</f>
        <v/>
      </c>
      <c r="H78" s="31" t="str">
        <f t="shared" si="4"/>
        <v/>
      </c>
    </row>
    <row r="79" spans="1:8" x14ac:dyDescent="0.25">
      <c r="A79" s="31" t="str">
        <f>IF(A78="","",IF(A78+1&gt;in_Term,"",A78+1))</f>
        <v/>
      </c>
      <c r="B79" s="32" t="str">
        <f>IF($A79="","",EDATE(in_Start,$A79-1))</f>
        <v/>
      </c>
      <c r="C79" s="32" t="str">
        <f>IF($A79="","",EDATE(in_Start,$A79)-1)</f>
        <v/>
      </c>
      <c r="D79" s="33" t="str">
        <f t="shared" si="5"/>
        <v/>
      </c>
      <c r="E79" s="33" t="str">
        <f>IF($A79="","",c_Dep)</f>
        <v/>
      </c>
      <c r="F79" s="33" t="str">
        <f>IF($A79="","",SUM($E$8:E79))</f>
        <v/>
      </c>
      <c r="G79" s="33" t="str">
        <f>IF($A79="","",c_ROU-F79)</f>
        <v/>
      </c>
      <c r="H79" s="31" t="str">
        <f t="shared" si="4"/>
        <v/>
      </c>
    </row>
    <row r="80" spans="1:8" x14ac:dyDescent="0.25">
      <c r="A80" s="31" t="str">
        <f>IF(A79="","",IF(A79+1&gt;in_Term,"",A79+1))</f>
        <v/>
      </c>
      <c r="B80" s="32" t="str">
        <f>IF($A80="","",EDATE(in_Start,$A80-1))</f>
        <v/>
      </c>
      <c r="C80" s="32" t="str">
        <f>IF($A80="","",EDATE(in_Start,$A80)-1)</f>
        <v/>
      </c>
      <c r="D80" s="33" t="str">
        <f t="shared" si="5"/>
        <v/>
      </c>
      <c r="E80" s="33" t="str">
        <f>IF($A80="","",c_Dep)</f>
        <v/>
      </c>
      <c r="F80" s="33" t="str">
        <f>IF($A80="","",SUM($E$8:E80))</f>
        <v/>
      </c>
      <c r="G80" s="33" t="str">
        <f>IF($A80="","",c_ROU-F80)</f>
        <v/>
      </c>
      <c r="H80" s="31" t="str">
        <f t="shared" si="4"/>
        <v/>
      </c>
    </row>
    <row r="81" spans="1:8" x14ac:dyDescent="0.25">
      <c r="A81" s="31" t="str">
        <f>IF(A80="","",IF(A80+1&gt;in_Term,"",A80+1))</f>
        <v/>
      </c>
      <c r="B81" s="32" t="str">
        <f>IF($A81="","",EDATE(in_Start,$A81-1))</f>
        <v/>
      </c>
      <c r="C81" s="32" t="str">
        <f>IF($A81="","",EDATE(in_Start,$A81)-1)</f>
        <v/>
      </c>
      <c r="D81" s="33" t="str">
        <f t="shared" si="5"/>
        <v/>
      </c>
      <c r="E81" s="33" t="str">
        <f>IF($A81="","",c_Dep)</f>
        <v/>
      </c>
      <c r="F81" s="33" t="str">
        <f>IF($A81="","",SUM($E$8:E81))</f>
        <v/>
      </c>
      <c r="G81" s="33" t="str">
        <f>IF($A81="","",c_ROU-F81)</f>
        <v/>
      </c>
      <c r="H81" s="31" t="str">
        <f t="shared" si="4"/>
        <v/>
      </c>
    </row>
    <row r="82" spans="1:8" x14ac:dyDescent="0.25">
      <c r="A82" s="31" t="str">
        <f>IF(A81="","",IF(A81+1&gt;in_Term,"",A81+1))</f>
        <v/>
      </c>
      <c r="B82" s="32" t="str">
        <f>IF($A82="","",EDATE(in_Start,$A82-1))</f>
        <v/>
      </c>
      <c r="C82" s="32" t="str">
        <f>IF($A82="","",EDATE(in_Start,$A82)-1)</f>
        <v/>
      </c>
      <c r="D82" s="33" t="str">
        <f t="shared" si="5"/>
        <v/>
      </c>
      <c r="E82" s="33" t="str">
        <f>IF($A82="","",c_Dep)</f>
        <v/>
      </c>
      <c r="F82" s="33" t="str">
        <f>IF($A82="","",SUM($E$8:E82))</f>
        <v/>
      </c>
      <c r="G82" s="33" t="str">
        <f>IF($A82="","",c_ROU-F82)</f>
        <v/>
      </c>
      <c r="H82" s="31" t="str">
        <f t="shared" si="4"/>
        <v/>
      </c>
    </row>
    <row r="83" spans="1:8" x14ac:dyDescent="0.25">
      <c r="A83" s="31" t="str">
        <f>IF(A82="","",IF(A82+1&gt;in_Term,"",A82+1))</f>
        <v/>
      </c>
      <c r="B83" s="32" t="str">
        <f>IF($A83="","",EDATE(in_Start,$A83-1))</f>
        <v/>
      </c>
      <c r="C83" s="32" t="str">
        <f>IF($A83="","",EDATE(in_Start,$A83)-1)</f>
        <v/>
      </c>
      <c r="D83" s="33" t="str">
        <f t="shared" si="5"/>
        <v/>
      </c>
      <c r="E83" s="33" t="str">
        <f>IF($A83="","",c_Dep)</f>
        <v/>
      </c>
      <c r="F83" s="33" t="str">
        <f>IF($A83="","",SUM($E$8:E83))</f>
        <v/>
      </c>
      <c r="G83" s="33" t="str">
        <f>IF($A83="","",c_ROU-F83)</f>
        <v/>
      </c>
      <c r="H83" s="31" t="str">
        <f t="shared" si="4"/>
        <v/>
      </c>
    </row>
    <row r="84" spans="1:8" x14ac:dyDescent="0.25">
      <c r="A84" s="31" t="str">
        <f>IF(A83="","",IF(A83+1&gt;in_Term,"",A83+1))</f>
        <v/>
      </c>
      <c r="B84" s="32" t="str">
        <f>IF($A84="","",EDATE(in_Start,$A84-1))</f>
        <v/>
      </c>
      <c r="C84" s="32" t="str">
        <f>IF($A84="","",EDATE(in_Start,$A84)-1)</f>
        <v/>
      </c>
      <c r="D84" s="33" t="str">
        <f t="shared" si="5"/>
        <v/>
      </c>
      <c r="E84" s="33" t="str">
        <f>IF($A84="","",c_Dep)</f>
        <v/>
      </c>
      <c r="F84" s="33" t="str">
        <f>IF($A84="","",SUM($E$8:E84))</f>
        <v/>
      </c>
      <c r="G84" s="33" t="str">
        <f>IF($A84="","",c_ROU-F84)</f>
        <v/>
      </c>
      <c r="H84" s="31" t="str">
        <f t="shared" si="4"/>
        <v/>
      </c>
    </row>
    <row r="85" spans="1:8" x14ac:dyDescent="0.25">
      <c r="A85" s="31" t="str">
        <f>IF(A84="","",IF(A84+1&gt;in_Term,"",A84+1))</f>
        <v/>
      </c>
      <c r="B85" s="32" t="str">
        <f>IF($A85="","",EDATE(in_Start,$A85-1))</f>
        <v/>
      </c>
      <c r="C85" s="32" t="str">
        <f>IF($A85="","",EDATE(in_Start,$A85)-1)</f>
        <v/>
      </c>
      <c r="D85" s="33" t="str">
        <f t="shared" si="5"/>
        <v/>
      </c>
      <c r="E85" s="33" t="str">
        <f>IF($A85="","",c_Dep)</f>
        <v/>
      </c>
      <c r="F85" s="33" t="str">
        <f>IF($A85="","",SUM($E$8:E85))</f>
        <v/>
      </c>
      <c r="G85" s="33" t="str">
        <f>IF($A85="","",c_ROU-F85)</f>
        <v/>
      </c>
      <c r="H85" s="31" t="str">
        <f t="shared" si="4"/>
        <v/>
      </c>
    </row>
    <row r="86" spans="1:8" x14ac:dyDescent="0.25">
      <c r="A86" s="31" t="str">
        <f>IF(A85="","",IF(A85+1&gt;in_Term,"",A85+1))</f>
        <v/>
      </c>
      <c r="B86" s="32" t="str">
        <f>IF($A86="","",EDATE(in_Start,$A86-1))</f>
        <v/>
      </c>
      <c r="C86" s="32" t="str">
        <f>IF($A86="","",EDATE(in_Start,$A86)-1)</f>
        <v/>
      </c>
      <c r="D86" s="33" t="str">
        <f t="shared" si="5"/>
        <v/>
      </c>
      <c r="E86" s="33" t="str">
        <f>IF($A86="","",c_Dep)</f>
        <v/>
      </c>
      <c r="F86" s="33" t="str">
        <f>IF($A86="","",SUM($E$8:E86))</f>
        <v/>
      </c>
      <c r="G86" s="33" t="str">
        <f>IF($A86="","",c_ROU-F86)</f>
        <v/>
      </c>
      <c r="H86" s="31" t="str">
        <f t="shared" si="4"/>
        <v/>
      </c>
    </row>
    <row r="87" spans="1:8" x14ac:dyDescent="0.25">
      <c r="A87" s="31" t="str">
        <f>IF(A86="","",IF(A86+1&gt;in_Term,"",A86+1))</f>
        <v/>
      </c>
      <c r="B87" s="32" t="str">
        <f>IF($A87="","",EDATE(in_Start,$A87-1))</f>
        <v/>
      </c>
      <c r="C87" s="32" t="str">
        <f>IF($A87="","",EDATE(in_Start,$A87)-1)</f>
        <v/>
      </c>
      <c r="D87" s="33" t="str">
        <f t="shared" si="5"/>
        <v/>
      </c>
      <c r="E87" s="33" t="str">
        <f>IF($A87="","",c_Dep)</f>
        <v/>
      </c>
      <c r="F87" s="33" t="str">
        <f>IF($A87="","",SUM($E$8:E87))</f>
        <v/>
      </c>
      <c r="G87" s="33" t="str">
        <f>IF($A87="","",c_ROU-F87)</f>
        <v/>
      </c>
      <c r="H87" s="31" t="str">
        <f t="shared" si="4"/>
        <v/>
      </c>
    </row>
    <row r="88" spans="1:8" x14ac:dyDescent="0.25">
      <c r="A88" s="31" t="str">
        <f>IF(A87="","",IF(A87+1&gt;in_Term,"",A87+1))</f>
        <v/>
      </c>
      <c r="B88" s="32" t="str">
        <f>IF($A88="","",EDATE(in_Start,$A88-1))</f>
        <v/>
      </c>
      <c r="C88" s="32" t="str">
        <f>IF($A88="","",EDATE(in_Start,$A88)-1)</f>
        <v/>
      </c>
      <c r="D88" s="33" t="str">
        <f t="shared" si="5"/>
        <v/>
      </c>
      <c r="E88" s="33" t="str">
        <f>IF($A88="","",c_Dep)</f>
        <v/>
      </c>
      <c r="F88" s="33" t="str">
        <f>IF($A88="","",SUM($E$8:E88))</f>
        <v/>
      </c>
      <c r="G88" s="33" t="str">
        <f>IF($A88="","",c_ROU-F88)</f>
        <v/>
      </c>
      <c r="H88" s="31" t="str">
        <f t="shared" si="4"/>
        <v/>
      </c>
    </row>
    <row r="89" spans="1:8" x14ac:dyDescent="0.25">
      <c r="A89" s="31" t="str">
        <f>IF(A88="","",IF(A88+1&gt;in_Term,"",A88+1))</f>
        <v/>
      </c>
      <c r="B89" s="32" t="str">
        <f>IF($A89="","",EDATE(in_Start,$A89-1))</f>
        <v/>
      </c>
      <c r="C89" s="32" t="str">
        <f>IF($A89="","",EDATE(in_Start,$A89)-1)</f>
        <v/>
      </c>
      <c r="D89" s="33" t="str">
        <f t="shared" si="5"/>
        <v/>
      </c>
      <c r="E89" s="33" t="str">
        <f>IF($A89="","",c_Dep)</f>
        <v/>
      </c>
      <c r="F89" s="33" t="str">
        <f>IF($A89="","",SUM($E$8:E89))</f>
        <v/>
      </c>
      <c r="G89" s="33" t="str">
        <f>IF($A89="","",c_ROU-F89)</f>
        <v/>
      </c>
      <c r="H89" s="31" t="str">
        <f t="shared" si="4"/>
        <v/>
      </c>
    </row>
    <row r="90" spans="1:8" x14ac:dyDescent="0.25">
      <c r="A90" s="31" t="str">
        <f>IF(A89="","",IF(A89+1&gt;in_Term,"",A89+1))</f>
        <v/>
      </c>
      <c r="B90" s="32" t="str">
        <f>IF($A90="","",EDATE(in_Start,$A90-1))</f>
        <v/>
      </c>
      <c r="C90" s="32" t="str">
        <f>IF($A90="","",EDATE(in_Start,$A90)-1)</f>
        <v/>
      </c>
      <c r="D90" s="33" t="str">
        <f t="shared" si="5"/>
        <v/>
      </c>
      <c r="E90" s="33" t="str">
        <f>IF($A90="","",c_Dep)</f>
        <v/>
      </c>
      <c r="F90" s="33" t="str">
        <f>IF($A90="","",SUM($E$8:E90))</f>
        <v/>
      </c>
      <c r="G90" s="33" t="str">
        <f>IF($A90="","",c_ROU-F90)</f>
        <v/>
      </c>
      <c r="H90" s="31" t="str">
        <f t="shared" si="4"/>
        <v/>
      </c>
    </row>
    <row r="91" spans="1:8" x14ac:dyDescent="0.25">
      <c r="A91" s="31" t="str">
        <f>IF(A90="","",IF(A90+1&gt;in_Term,"",A90+1))</f>
        <v/>
      </c>
      <c r="B91" s="32" t="str">
        <f>IF($A91="","",EDATE(in_Start,$A91-1))</f>
        <v/>
      </c>
      <c r="C91" s="32" t="str">
        <f>IF($A91="","",EDATE(in_Start,$A91)-1)</f>
        <v/>
      </c>
      <c r="D91" s="33" t="str">
        <f t="shared" si="5"/>
        <v/>
      </c>
      <c r="E91" s="33" t="str">
        <f>IF($A91="","",c_Dep)</f>
        <v/>
      </c>
      <c r="F91" s="33" t="str">
        <f>IF($A91="","",SUM($E$8:E91))</f>
        <v/>
      </c>
      <c r="G91" s="33" t="str">
        <f>IF($A91="","",c_ROU-F91)</f>
        <v/>
      </c>
      <c r="H91" s="31" t="str">
        <f t="shared" si="4"/>
        <v/>
      </c>
    </row>
    <row r="92" spans="1:8" x14ac:dyDescent="0.25">
      <c r="A92" s="31" t="str">
        <f>IF(A91="","",IF(A91+1&gt;in_Term,"",A91+1))</f>
        <v/>
      </c>
      <c r="B92" s="32" t="str">
        <f>IF($A92="","",EDATE(in_Start,$A92-1))</f>
        <v/>
      </c>
      <c r="C92" s="32" t="str">
        <f>IF($A92="","",EDATE(in_Start,$A92)-1)</f>
        <v/>
      </c>
      <c r="D92" s="33" t="str">
        <f t="shared" si="5"/>
        <v/>
      </c>
      <c r="E92" s="33" t="str">
        <f>IF($A92="","",c_Dep)</f>
        <v/>
      </c>
      <c r="F92" s="33" t="str">
        <f>IF($A92="","",SUM($E$8:E92))</f>
        <v/>
      </c>
      <c r="G92" s="33" t="str">
        <f>IF($A92="","",c_ROU-F92)</f>
        <v/>
      </c>
      <c r="H92" s="31" t="str">
        <f t="shared" si="4"/>
        <v/>
      </c>
    </row>
    <row r="93" spans="1:8" x14ac:dyDescent="0.25">
      <c r="A93" s="31" t="str">
        <f>IF(A92="","",IF(A92+1&gt;in_Term,"",A92+1))</f>
        <v/>
      </c>
      <c r="B93" s="32" t="str">
        <f>IF($A93="","",EDATE(in_Start,$A93-1))</f>
        <v/>
      </c>
      <c r="C93" s="32" t="str">
        <f>IF($A93="","",EDATE(in_Start,$A93)-1)</f>
        <v/>
      </c>
      <c r="D93" s="33" t="str">
        <f t="shared" si="5"/>
        <v/>
      </c>
      <c r="E93" s="33" t="str">
        <f>IF($A93="","",c_Dep)</f>
        <v/>
      </c>
      <c r="F93" s="33" t="str">
        <f>IF($A93="","",SUM($E$8:E93))</f>
        <v/>
      </c>
      <c r="G93" s="33" t="str">
        <f>IF($A93="","",c_ROU-F93)</f>
        <v/>
      </c>
      <c r="H93" s="31" t="str">
        <f t="shared" si="4"/>
        <v/>
      </c>
    </row>
    <row r="94" spans="1:8" x14ac:dyDescent="0.25">
      <c r="A94" s="31" t="str">
        <f>IF(A93="","",IF(A93+1&gt;in_Term,"",A93+1))</f>
        <v/>
      </c>
      <c r="B94" s="32" t="str">
        <f>IF($A94="","",EDATE(in_Start,$A94-1))</f>
        <v/>
      </c>
      <c r="C94" s="32" t="str">
        <f>IF($A94="","",EDATE(in_Start,$A94)-1)</f>
        <v/>
      </c>
      <c r="D94" s="33" t="str">
        <f t="shared" si="5"/>
        <v/>
      </c>
      <c r="E94" s="33" t="str">
        <f>IF($A94="","",c_Dep)</f>
        <v/>
      </c>
      <c r="F94" s="33" t="str">
        <f>IF($A94="","",SUM($E$8:E94))</f>
        <v/>
      </c>
      <c r="G94" s="33" t="str">
        <f>IF($A94="","",c_ROU-F94)</f>
        <v/>
      </c>
      <c r="H94" s="31" t="str">
        <f t="shared" si="4"/>
        <v/>
      </c>
    </row>
    <row r="95" spans="1:8" x14ac:dyDescent="0.25">
      <c r="A95" s="31" t="str">
        <f>IF(A94="","",IF(A94+1&gt;in_Term,"",A94+1))</f>
        <v/>
      </c>
      <c r="B95" s="32" t="str">
        <f>IF($A95="","",EDATE(in_Start,$A95-1))</f>
        <v/>
      </c>
      <c r="C95" s="32" t="str">
        <f>IF($A95="","",EDATE(in_Start,$A95)-1)</f>
        <v/>
      </c>
      <c r="D95" s="33" t="str">
        <f t="shared" si="5"/>
        <v/>
      </c>
      <c r="E95" s="33" t="str">
        <f>IF($A95="","",c_Dep)</f>
        <v/>
      </c>
      <c r="F95" s="33" t="str">
        <f>IF($A95="","",SUM($E$8:E95))</f>
        <v/>
      </c>
      <c r="G95" s="33" t="str">
        <f>IF($A95="","",c_ROU-F95)</f>
        <v/>
      </c>
      <c r="H95" s="31" t="str">
        <f t="shared" si="4"/>
        <v/>
      </c>
    </row>
    <row r="96" spans="1:8" x14ac:dyDescent="0.25">
      <c r="A96" s="31" t="str">
        <f>IF(A95="","",IF(A95+1&gt;in_Term,"",A95+1))</f>
        <v/>
      </c>
      <c r="B96" s="32" t="str">
        <f>IF($A96="","",EDATE(in_Start,$A96-1))</f>
        <v/>
      </c>
      <c r="C96" s="32" t="str">
        <f>IF($A96="","",EDATE(in_Start,$A96)-1)</f>
        <v/>
      </c>
      <c r="D96" s="33" t="str">
        <f t="shared" si="5"/>
        <v/>
      </c>
      <c r="E96" s="33" t="str">
        <f>IF($A96="","",c_Dep)</f>
        <v/>
      </c>
      <c r="F96" s="33" t="str">
        <f>IF($A96="","",SUM($E$8:E96))</f>
        <v/>
      </c>
      <c r="G96" s="33" t="str">
        <f>IF($A96="","",c_ROU-F96)</f>
        <v/>
      </c>
      <c r="H96" s="31" t="str">
        <f t="shared" si="4"/>
        <v/>
      </c>
    </row>
    <row r="97" spans="1:8" x14ac:dyDescent="0.25">
      <c r="A97" s="31" t="str">
        <f>IF(A96="","",IF(A96+1&gt;in_Term,"",A96+1))</f>
        <v/>
      </c>
      <c r="B97" s="32" t="str">
        <f>IF($A97="","",EDATE(in_Start,$A97-1))</f>
        <v/>
      </c>
      <c r="C97" s="32" t="str">
        <f>IF($A97="","",EDATE(in_Start,$A97)-1)</f>
        <v/>
      </c>
      <c r="D97" s="33" t="str">
        <f t="shared" si="5"/>
        <v/>
      </c>
      <c r="E97" s="33" t="str">
        <f>IF($A97="","",c_Dep)</f>
        <v/>
      </c>
      <c r="F97" s="33" t="str">
        <f>IF($A97="","",SUM($E$8:E97))</f>
        <v/>
      </c>
      <c r="G97" s="33" t="str">
        <f>IF($A97="","",c_ROU-F97)</f>
        <v/>
      </c>
      <c r="H97" s="31" t="str">
        <f t="shared" si="4"/>
        <v/>
      </c>
    </row>
    <row r="98" spans="1:8" x14ac:dyDescent="0.25">
      <c r="A98" s="31" t="str">
        <f>IF(A97="","",IF(A97+1&gt;in_Term,"",A97+1))</f>
        <v/>
      </c>
      <c r="B98" s="32" t="str">
        <f>IF($A98="","",EDATE(in_Start,$A98-1))</f>
        <v/>
      </c>
      <c r="C98" s="32" t="str">
        <f>IF($A98="","",EDATE(in_Start,$A98)-1)</f>
        <v/>
      </c>
      <c r="D98" s="33" t="str">
        <f t="shared" si="5"/>
        <v/>
      </c>
      <c r="E98" s="33" t="str">
        <f>IF($A98="","",c_Dep)</f>
        <v/>
      </c>
      <c r="F98" s="33" t="str">
        <f>IF($A98="","",SUM($E$8:E98))</f>
        <v/>
      </c>
      <c r="G98" s="33" t="str">
        <f>IF($A98="","",c_ROU-F98)</f>
        <v/>
      </c>
      <c r="H98" s="31" t="str">
        <f t="shared" si="4"/>
        <v/>
      </c>
    </row>
    <row r="99" spans="1:8" x14ac:dyDescent="0.25">
      <c r="A99" s="31" t="str">
        <f>IF(A98="","",IF(A98+1&gt;in_Term,"",A98+1))</f>
        <v/>
      </c>
      <c r="B99" s="32" t="str">
        <f>IF($A99="","",EDATE(in_Start,$A99-1))</f>
        <v/>
      </c>
      <c r="C99" s="32" t="str">
        <f>IF($A99="","",EDATE(in_Start,$A99)-1)</f>
        <v/>
      </c>
      <c r="D99" s="33" t="str">
        <f t="shared" si="5"/>
        <v/>
      </c>
      <c r="E99" s="33" t="str">
        <f>IF($A99="","",c_Dep)</f>
        <v/>
      </c>
      <c r="F99" s="33" t="str">
        <f>IF($A99="","",SUM($E$8:E99))</f>
        <v/>
      </c>
      <c r="G99" s="33" t="str">
        <f>IF($A99="","",c_ROU-F99)</f>
        <v/>
      </c>
      <c r="H99" s="31" t="str">
        <f t="shared" si="4"/>
        <v/>
      </c>
    </row>
    <row r="100" spans="1:8" x14ac:dyDescent="0.25">
      <c r="A100" s="31" t="str">
        <f>IF(A99="","",IF(A99+1&gt;in_Term,"",A99+1))</f>
        <v/>
      </c>
      <c r="B100" s="32" t="str">
        <f>IF($A100="","",EDATE(in_Start,$A100-1))</f>
        <v/>
      </c>
      <c r="C100" s="32" t="str">
        <f>IF($A100="","",EDATE(in_Start,$A100)-1)</f>
        <v/>
      </c>
      <c r="D100" s="33" t="str">
        <f t="shared" si="5"/>
        <v/>
      </c>
      <c r="E100" s="33" t="str">
        <f>IF($A100="","",c_Dep)</f>
        <v/>
      </c>
      <c r="F100" s="33" t="str">
        <f>IF($A100="","",SUM($E$8:E100))</f>
        <v/>
      </c>
      <c r="G100" s="33" t="str">
        <f>IF($A100="","",c_ROU-F100)</f>
        <v/>
      </c>
      <c r="H100" s="31" t="str">
        <f t="shared" si="4"/>
        <v/>
      </c>
    </row>
    <row r="101" spans="1:8" x14ac:dyDescent="0.25">
      <c r="A101" s="31" t="str">
        <f>IF(A100="","",IF(A100+1&gt;in_Term,"",A100+1))</f>
        <v/>
      </c>
      <c r="B101" s="32" t="str">
        <f>IF($A101="","",EDATE(in_Start,$A101-1))</f>
        <v/>
      </c>
      <c r="C101" s="32" t="str">
        <f>IF($A101="","",EDATE(in_Start,$A101)-1)</f>
        <v/>
      </c>
      <c r="D101" s="33" t="str">
        <f t="shared" si="5"/>
        <v/>
      </c>
      <c r="E101" s="33" t="str">
        <f>IF($A101="","",c_Dep)</f>
        <v/>
      </c>
      <c r="F101" s="33" t="str">
        <f>IF($A101="","",SUM($E$8:E101))</f>
        <v/>
      </c>
      <c r="G101" s="33" t="str">
        <f>IF($A101="","",c_ROU-F101)</f>
        <v/>
      </c>
      <c r="H101" s="31" t="str">
        <f t="shared" si="4"/>
        <v/>
      </c>
    </row>
    <row r="102" spans="1:8" x14ac:dyDescent="0.25">
      <c r="A102" s="31" t="str">
        <f>IF(A101="","",IF(A101+1&gt;in_Term,"",A101+1))</f>
        <v/>
      </c>
      <c r="B102" s="32" t="str">
        <f>IF($A102="","",EDATE(in_Start,$A102-1))</f>
        <v/>
      </c>
      <c r="C102" s="32" t="str">
        <f>IF($A102="","",EDATE(in_Start,$A102)-1)</f>
        <v/>
      </c>
      <c r="D102" s="33" t="str">
        <f t="shared" si="5"/>
        <v/>
      </c>
      <c r="E102" s="33" t="str">
        <f>IF($A102="","",c_Dep)</f>
        <v/>
      </c>
      <c r="F102" s="33" t="str">
        <f>IF($A102="","",SUM($E$8:E102))</f>
        <v/>
      </c>
      <c r="G102" s="33" t="str">
        <f>IF($A102="","",c_ROU-F102)</f>
        <v/>
      </c>
      <c r="H102" s="31" t="str">
        <f t="shared" si="4"/>
        <v/>
      </c>
    </row>
    <row r="103" spans="1:8" x14ac:dyDescent="0.25">
      <c r="A103" s="31" t="str">
        <f>IF(A102="","",IF(A102+1&gt;in_Term,"",A102+1))</f>
        <v/>
      </c>
      <c r="B103" s="32" t="str">
        <f>IF($A103="","",EDATE(in_Start,$A103-1))</f>
        <v/>
      </c>
      <c r="C103" s="32" t="str">
        <f>IF($A103="","",EDATE(in_Start,$A103)-1)</f>
        <v/>
      </c>
      <c r="D103" s="33" t="str">
        <f t="shared" si="5"/>
        <v/>
      </c>
      <c r="E103" s="33" t="str">
        <f>IF($A103="","",c_Dep)</f>
        <v/>
      </c>
      <c r="F103" s="33" t="str">
        <f>IF($A103="","",SUM($E$8:E103))</f>
        <v/>
      </c>
      <c r="G103" s="33" t="str">
        <f>IF($A103="","",c_ROU-F103)</f>
        <v/>
      </c>
      <c r="H103" s="31" t="str">
        <f t="shared" si="4"/>
        <v/>
      </c>
    </row>
    <row r="104" spans="1:8" x14ac:dyDescent="0.25">
      <c r="A104" s="31" t="str">
        <f>IF(A103="","",IF(A103+1&gt;in_Term,"",A103+1))</f>
        <v/>
      </c>
      <c r="B104" s="32" t="str">
        <f>IF($A104="","",EDATE(in_Start,$A104-1))</f>
        <v/>
      </c>
      <c r="C104" s="32" t="str">
        <f>IF($A104="","",EDATE(in_Start,$A104)-1)</f>
        <v/>
      </c>
      <c r="D104" s="33" t="str">
        <f t="shared" si="5"/>
        <v/>
      </c>
      <c r="E104" s="33" t="str">
        <f>IF($A104="","",c_Dep)</f>
        <v/>
      </c>
      <c r="F104" s="33" t="str">
        <f>IF($A104="","",SUM($E$8:E104))</f>
        <v/>
      </c>
      <c r="G104" s="33" t="str">
        <f>IF($A104="","",c_ROU-F104)</f>
        <v/>
      </c>
      <c r="H104" s="31" t="str">
        <f t="shared" ref="H104:H127" si="6">IF($A104="","",INT(($A104-1)/12)+1)</f>
        <v/>
      </c>
    </row>
    <row r="105" spans="1:8" x14ac:dyDescent="0.25">
      <c r="A105" s="31" t="str">
        <f>IF(A104="","",IF(A104+1&gt;in_Term,"",A104+1))</f>
        <v/>
      </c>
      <c r="B105" s="32" t="str">
        <f>IF($A105="","",EDATE(in_Start,$A105-1))</f>
        <v/>
      </c>
      <c r="C105" s="32" t="str">
        <f>IF($A105="","",EDATE(in_Start,$A105)-1)</f>
        <v/>
      </c>
      <c r="D105" s="33" t="str">
        <f t="shared" ref="D105:D127" si="7">IF($A105="","",G104)</f>
        <v/>
      </c>
      <c r="E105" s="33" t="str">
        <f>IF($A105="","",c_Dep)</f>
        <v/>
      </c>
      <c r="F105" s="33" t="str">
        <f>IF($A105="","",SUM($E$8:E105))</f>
        <v/>
      </c>
      <c r="G105" s="33" t="str">
        <f>IF($A105="","",c_ROU-F105)</f>
        <v/>
      </c>
      <c r="H105" s="31" t="str">
        <f t="shared" si="6"/>
        <v/>
      </c>
    </row>
    <row r="106" spans="1:8" x14ac:dyDescent="0.25">
      <c r="A106" s="31" t="str">
        <f>IF(A105="","",IF(A105+1&gt;in_Term,"",A105+1))</f>
        <v/>
      </c>
      <c r="B106" s="32" t="str">
        <f>IF($A106="","",EDATE(in_Start,$A106-1))</f>
        <v/>
      </c>
      <c r="C106" s="32" t="str">
        <f>IF($A106="","",EDATE(in_Start,$A106)-1)</f>
        <v/>
      </c>
      <c r="D106" s="33" t="str">
        <f t="shared" si="7"/>
        <v/>
      </c>
      <c r="E106" s="33" t="str">
        <f>IF($A106="","",c_Dep)</f>
        <v/>
      </c>
      <c r="F106" s="33" t="str">
        <f>IF($A106="","",SUM($E$8:E106))</f>
        <v/>
      </c>
      <c r="G106" s="33" t="str">
        <f>IF($A106="","",c_ROU-F106)</f>
        <v/>
      </c>
      <c r="H106" s="31" t="str">
        <f t="shared" si="6"/>
        <v/>
      </c>
    </row>
    <row r="107" spans="1:8" x14ac:dyDescent="0.25">
      <c r="A107" s="31" t="str">
        <f>IF(A106="","",IF(A106+1&gt;in_Term,"",A106+1))</f>
        <v/>
      </c>
      <c r="B107" s="32" t="str">
        <f>IF($A107="","",EDATE(in_Start,$A107-1))</f>
        <v/>
      </c>
      <c r="C107" s="32" t="str">
        <f>IF($A107="","",EDATE(in_Start,$A107)-1)</f>
        <v/>
      </c>
      <c r="D107" s="33" t="str">
        <f t="shared" si="7"/>
        <v/>
      </c>
      <c r="E107" s="33" t="str">
        <f>IF($A107="","",c_Dep)</f>
        <v/>
      </c>
      <c r="F107" s="33" t="str">
        <f>IF($A107="","",SUM($E$8:E107))</f>
        <v/>
      </c>
      <c r="G107" s="33" t="str">
        <f>IF($A107="","",c_ROU-F107)</f>
        <v/>
      </c>
      <c r="H107" s="31" t="str">
        <f t="shared" si="6"/>
        <v/>
      </c>
    </row>
    <row r="108" spans="1:8" x14ac:dyDescent="0.25">
      <c r="A108" s="31" t="str">
        <f>IF(A107="","",IF(A107+1&gt;in_Term,"",A107+1))</f>
        <v/>
      </c>
      <c r="B108" s="32" t="str">
        <f>IF($A108="","",EDATE(in_Start,$A108-1))</f>
        <v/>
      </c>
      <c r="C108" s="32" t="str">
        <f>IF($A108="","",EDATE(in_Start,$A108)-1)</f>
        <v/>
      </c>
      <c r="D108" s="33" t="str">
        <f t="shared" si="7"/>
        <v/>
      </c>
      <c r="E108" s="33" t="str">
        <f>IF($A108="","",c_Dep)</f>
        <v/>
      </c>
      <c r="F108" s="33" t="str">
        <f>IF($A108="","",SUM($E$8:E108))</f>
        <v/>
      </c>
      <c r="G108" s="33" t="str">
        <f>IF($A108="","",c_ROU-F108)</f>
        <v/>
      </c>
      <c r="H108" s="31" t="str">
        <f t="shared" si="6"/>
        <v/>
      </c>
    </row>
    <row r="109" spans="1:8" x14ac:dyDescent="0.25">
      <c r="A109" s="31" t="str">
        <f>IF(A108="","",IF(A108+1&gt;in_Term,"",A108+1))</f>
        <v/>
      </c>
      <c r="B109" s="32" t="str">
        <f>IF($A109="","",EDATE(in_Start,$A109-1))</f>
        <v/>
      </c>
      <c r="C109" s="32" t="str">
        <f>IF($A109="","",EDATE(in_Start,$A109)-1)</f>
        <v/>
      </c>
      <c r="D109" s="33" t="str">
        <f t="shared" si="7"/>
        <v/>
      </c>
      <c r="E109" s="33" t="str">
        <f>IF($A109="","",c_Dep)</f>
        <v/>
      </c>
      <c r="F109" s="33" t="str">
        <f>IF($A109="","",SUM($E$8:E109))</f>
        <v/>
      </c>
      <c r="G109" s="33" t="str">
        <f>IF($A109="","",c_ROU-F109)</f>
        <v/>
      </c>
      <c r="H109" s="31" t="str">
        <f t="shared" si="6"/>
        <v/>
      </c>
    </row>
    <row r="110" spans="1:8" x14ac:dyDescent="0.25">
      <c r="A110" s="31" t="str">
        <f>IF(A109="","",IF(A109+1&gt;in_Term,"",A109+1))</f>
        <v/>
      </c>
      <c r="B110" s="32" t="str">
        <f>IF($A110="","",EDATE(in_Start,$A110-1))</f>
        <v/>
      </c>
      <c r="C110" s="32" t="str">
        <f>IF($A110="","",EDATE(in_Start,$A110)-1)</f>
        <v/>
      </c>
      <c r="D110" s="33" t="str">
        <f t="shared" si="7"/>
        <v/>
      </c>
      <c r="E110" s="33" t="str">
        <f>IF($A110="","",c_Dep)</f>
        <v/>
      </c>
      <c r="F110" s="33" t="str">
        <f>IF($A110="","",SUM($E$8:E110))</f>
        <v/>
      </c>
      <c r="G110" s="33" t="str">
        <f>IF($A110="","",c_ROU-F110)</f>
        <v/>
      </c>
      <c r="H110" s="31" t="str">
        <f t="shared" si="6"/>
        <v/>
      </c>
    </row>
    <row r="111" spans="1:8" x14ac:dyDescent="0.25">
      <c r="A111" s="31" t="str">
        <f>IF(A110="","",IF(A110+1&gt;in_Term,"",A110+1))</f>
        <v/>
      </c>
      <c r="B111" s="32" t="str">
        <f>IF($A111="","",EDATE(in_Start,$A111-1))</f>
        <v/>
      </c>
      <c r="C111" s="32" t="str">
        <f>IF($A111="","",EDATE(in_Start,$A111)-1)</f>
        <v/>
      </c>
      <c r="D111" s="33" t="str">
        <f t="shared" si="7"/>
        <v/>
      </c>
      <c r="E111" s="33" t="str">
        <f>IF($A111="","",c_Dep)</f>
        <v/>
      </c>
      <c r="F111" s="33" t="str">
        <f>IF($A111="","",SUM($E$8:E111))</f>
        <v/>
      </c>
      <c r="G111" s="33" t="str">
        <f>IF($A111="","",c_ROU-F111)</f>
        <v/>
      </c>
      <c r="H111" s="31" t="str">
        <f t="shared" si="6"/>
        <v/>
      </c>
    </row>
    <row r="112" spans="1:8" x14ac:dyDescent="0.25">
      <c r="A112" s="31" t="str">
        <f>IF(A111="","",IF(A111+1&gt;in_Term,"",A111+1))</f>
        <v/>
      </c>
      <c r="B112" s="32" t="str">
        <f>IF($A112="","",EDATE(in_Start,$A112-1))</f>
        <v/>
      </c>
      <c r="C112" s="32" t="str">
        <f>IF($A112="","",EDATE(in_Start,$A112)-1)</f>
        <v/>
      </c>
      <c r="D112" s="33" t="str">
        <f t="shared" si="7"/>
        <v/>
      </c>
      <c r="E112" s="33" t="str">
        <f>IF($A112="","",c_Dep)</f>
        <v/>
      </c>
      <c r="F112" s="33" t="str">
        <f>IF($A112="","",SUM($E$8:E112))</f>
        <v/>
      </c>
      <c r="G112" s="33" t="str">
        <f>IF($A112="","",c_ROU-F112)</f>
        <v/>
      </c>
      <c r="H112" s="31" t="str">
        <f t="shared" si="6"/>
        <v/>
      </c>
    </row>
    <row r="113" spans="1:8" x14ac:dyDescent="0.25">
      <c r="A113" s="31" t="str">
        <f>IF(A112="","",IF(A112+1&gt;in_Term,"",A112+1))</f>
        <v/>
      </c>
      <c r="B113" s="32" t="str">
        <f>IF($A113="","",EDATE(in_Start,$A113-1))</f>
        <v/>
      </c>
      <c r="C113" s="32" t="str">
        <f>IF($A113="","",EDATE(in_Start,$A113)-1)</f>
        <v/>
      </c>
      <c r="D113" s="33" t="str">
        <f t="shared" si="7"/>
        <v/>
      </c>
      <c r="E113" s="33" t="str">
        <f>IF($A113="","",c_Dep)</f>
        <v/>
      </c>
      <c r="F113" s="33" t="str">
        <f>IF($A113="","",SUM($E$8:E113))</f>
        <v/>
      </c>
      <c r="G113" s="33" t="str">
        <f>IF($A113="","",c_ROU-F113)</f>
        <v/>
      </c>
      <c r="H113" s="31" t="str">
        <f t="shared" si="6"/>
        <v/>
      </c>
    </row>
    <row r="114" spans="1:8" x14ac:dyDescent="0.25">
      <c r="A114" s="31" t="str">
        <f>IF(A113="","",IF(A113+1&gt;in_Term,"",A113+1))</f>
        <v/>
      </c>
      <c r="B114" s="32" t="str">
        <f>IF($A114="","",EDATE(in_Start,$A114-1))</f>
        <v/>
      </c>
      <c r="C114" s="32" t="str">
        <f>IF($A114="","",EDATE(in_Start,$A114)-1)</f>
        <v/>
      </c>
      <c r="D114" s="33" t="str">
        <f t="shared" si="7"/>
        <v/>
      </c>
      <c r="E114" s="33" t="str">
        <f>IF($A114="","",c_Dep)</f>
        <v/>
      </c>
      <c r="F114" s="33" t="str">
        <f>IF($A114="","",SUM($E$8:E114))</f>
        <v/>
      </c>
      <c r="G114" s="33" t="str">
        <f>IF($A114="","",c_ROU-F114)</f>
        <v/>
      </c>
      <c r="H114" s="31" t="str">
        <f t="shared" si="6"/>
        <v/>
      </c>
    </row>
    <row r="115" spans="1:8" x14ac:dyDescent="0.25">
      <c r="A115" s="31" t="str">
        <f>IF(A114="","",IF(A114+1&gt;in_Term,"",A114+1))</f>
        <v/>
      </c>
      <c r="B115" s="32" t="str">
        <f>IF($A115="","",EDATE(in_Start,$A115-1))</f>
        <v/>
      </c>
      <c r="C115" s="32" t="str">
        <f>IF($A115="","",EDATE(in_Start,$A115)-1)</f>
        <v/>
      </c>
      <c r="D115" s="33" t="str">
        <f t="shared" si="7"/>
        <v/>
      </c>
      <c r="E115" s="33" t="str">
        <f>IF($A115="","",c_Dep)</f>
        <v/>
      </c>
      <c r="F115" s="33" t="str">
        <f>IF($A115="","",SUM($E$8:E115))</f>
        <v/>
      </c>
      <c r="G115" s="33" t="str">
        <f>IF($A115="","",c_ROU-F115)</f>
        <v/>
      </c>
      <c r="H115" s="31" t="str">
        <f t="shared" si="6"/>
        <v/>
      </c>
    </row>
    <row r="116" spans="1:8" x14ac:dyDescent="0.25">
      <c r="A116" s="31" t="str">
        <f>IF(A115="","",IF(A115+1&gt;in_Term,"",A115+1))</f>
        <v/>
      </c>
      <c r="B116" s="32" t="str">
        <f>IF($A116="","",EDATE(in_Start,$A116-1))</f>
        <v/>
      </c>
      <c r="C116" s="32" t="str">
        <f>IF($A116="","",EDATE(in_Start,$A116)-1)</f>
        <v/>
      </c>
      <c r="D116" s="33" t="str">
        <f t="shared" si="7"/>
        <v/>
      </c>
      <c r="E116" s="33" t="str">
        <f>IF($A116="","",c_Dep)</f>
        <v/>
      </c>
      <c r="F116" s="33" t="str">
        <f>IF($A116="","",SUM($E$8:E116))</f>
        <v/>
      </c>
      <c r="G116" s="33" t="str">
        <f>IF($A116="","",c_ROU-F116)</f>
        <v/>
      </c>
      <c r="H116" s="31" t="str">
        <f t="shared" si="6"/>
        <v/>
      </c>
    </row>
    <row r="117" spans="1:8" x14ac:dyDescent="0.25">
      <c r="A117" s="31" t="str">
        <f>IF(A116="","",IF(A116+1&gt;in_Term,"",A116+1))</f>
        <v/>
      </c>
      <c r="B117" s="32" t="str">
        <f>IF($A117="","",EDATE(in_Start,$A117-1))</f>
        <v/>
      </c>
      <c r="C117" s="32" t="str">
        <f>IF($A117="","",EDATE(in_Start,$A117)-1)</f>
        <v/>
      </c>
      <c r="D117" s="33" t="str">
        <f t="shared" si="7"/>
        <v/>
      </c>
      <c r="E117" s="33" t="str">
        <f>IF($A117="","",c_Dep)</f>
        <v/>
      </c>
      <c r="F117" s="33" t="str">
        <f>IF($A117="","",SUM($E$8:E117))</f>
        <v/>
      </c>
      <c r="G117" s="33" t="str">
        <f>IF($A117="","",c_ROU-F117)</f>
        <v/>
      </c>
      <c r="H117" s="31" t="str">
        <f t="shared" si="6"/>
        <v/>
      </c>
    </row>
    <row r="118" spans="1:8" x14ac:dyDescent="0.25">
      <c r="A118" s="31" t="str">
        <f>IF(A117="","",IF(A117+1&gt;in_Term,"",A117+1))</f>
        <v/>
      </c>
      <c r="B118" s="32" t="str">
        <f>IF($A118="","",EDATE(in_Start,$A118-1))</f>
        <v/>
      </c>
      <c r="C118" s="32" t="str">
        <f>IF($A118="","",EDATE(in_Start,$A118)-1)</f>
        <v/>
      </c>
      <c r="D118" s="33" t="str">
        <f t="shared" si="7"/>
        <v/>
      </c>
      <c r="E118" s="33" t="str">
        <f>IF($A118="","",c_Dep)</f>
        <v/>
      </c>
      <c r="F118" s="33" t="str">
        <f>IF($A118="","",SUM($E$8:E118))</f>
        <v/>
      </c>
      <c r="G118" s="33" t="str">
        <f>IF($A118="","",c_ROU-F118)</f>
        <v/>
      </c>
      <c r="H118" s="31" t="str">
        <f t="shared" si="6"/>
        <v/>
      </c>
    </row>
    <row r="119" spans="1:8" x14ac:dyDescent="0.25">
      <c r="A119" s="31" t="str">
        <f>IF(A118="","",IF(A118+1&gt;in_Term,"",A118+1))</f>
        <v/>
      </c>
      <c r="B119" s="32" t="str">
        <f>IF($A119="","",EDATE(in_Start,$A119-1))</f>
        <v/>
      </c>
      <c r="C119" s="32" t="str">
        <f>IF($A119="","",EDATE(in_Start,$A119)-1)</f>
        <v/>
      </c>
      <c r="D119" s="33" t="str">
        <f t="shared" si="7"/>
        <v/>
      </c>
      <c r="E119" s="33" t="str">
        <f>IF($A119="","",c_Dep)</f>
        <v/>
      </c>
      <c r="F119" s="33" t="str">
        <f>IF($A119="","",SUM($E$8:E119))</f>
        <v/>
      </c>
      <c r="G119" s="33" t="str">
        <f>IF($A119="","",c_ROU-F119)</f>
        <v/>
      </c>
      <c r="H119" s="31" t="str">
        <f t="shared" si="6"/>
        <v/>
      </c>
    </row>
    <row r="120" spans="1:8" x14ac:dyDescent="0.25">
      <c r="A120" s="31" t="str">
        <f>IF(A119="","",IF(A119+1&gt;in_Term,"",A119+1))</f>
        <v/>
      </c>
      <c r="B120" s="32" t="str">
        <f>IF($A120="","",EDATE(in_Start,$A120-1))</f>
        <v/>
      </c>
      <c r="C120" s="32" t="str">
        <f>IF($A120="","",EDATE(in_Start,$A120)-1)</f>
        <v/>
      </c>
      <c r="D120" s="33" t="str">
        <f t="shared" si="7"/>
        <v/>
      </c>
      <c r="E120" s="33" t="str">
        <f>IF($A120="","",c_Dep)</f>
        <v/>
      </c>
      <c r="F120" s="33" t="str">
        <f>IF($A120="","",SUM($E$8:E120))</f>
        <v/>
      </c>
      <c r="G120" s="33" t="str">
        <f>IF($A120="","",c_ROU-F120)</f>
        <v/>
      </c>
      <c r="H120" s="31" t="str">
        <f t="shared" si="6"/>
        <v/>
      </c>
    </row>
    <row r="121" spans="1:8" x14ac:dyDescent="0.25">
      <c r="A121" s="31" t="str">
        <f>IF(A120="","",IF(A120+1&gt;in_Term,"",A120+1))</f>
        <v/>
      </c>
      <c r="B121" s="32" t="str">
        <f>IF($A121="","",EDATE(in_Start,$A121-1))</f>
        <v/>
      </c>
      <c r="C121" s="32" t="str">
        <f>IF($A121="","",EDATE(in_Start,$A121)-1)</f>
        <v/>
      </c>
      <c r="D121" s="33" t="str">
        <f t="shared" si="7"/>
        <v/>
      </c>
      <c r="E121" s="33" t="str">
        <f>IF($A121="","",c_Dep)</f>
        <v/>
      </c>
      <c r="F121" s="33" t="str">
        <f>IF($A121="","",SUM($E$8:E121))</f>
        <v/>
      </c>
      <c r="G121" s="33" t="str">
        <f>IF($A121="","",c_ROU-F121)</f>
        <v/>
      </c>
      <c r="H121" s="31" t="str">
        <f t="shared" si="6"/>
        <v/>
      </c>
    </row>
    <row r="122" spans="1:8" x14ac:dyDescent="0.25">
      <c r="A122" s="31" t="str">
        <f>IF(A121="","",IF(A121+1&gt;in_Term,"",A121+1))</f>
        <v/>
      </c>
      <c r="B122" s="32" t="str">
        <f>IF($A122="","",EDATE(in_Start,$A122-1))</f>
        <v/>
      </c>
      <c r="C122" s="32" t="str">
        <f>IF($A122="","",EDATE(in_Start,$A122)-1)</f>
        <v/>
      </c>
      <c r="D122" s="33" t="str">
        <f t="shared" si="7"/>
        <v/>
      </c>
      <c r="E122" s="33" t="str">
        <f>IF($A122="","",c_Dep)</f>
        <v/>
      </c>
      <c r="F122" s="33" t="str">
        <f>IF($A122="","",SUM($E$8:E122))</f>
        <v/>
      </c>
      <c r="G122" s="33" t="str">
        <f>IF($A122="","",c_ROU-F122)</f>
        <v/>
      </c>
      <c r="H122" s="31" t="str">
        <f t="shared" si="6"/>
        <v/>
      </c>
    </row>
    <row r="123" spans="1:8" x14ac:dyDescent="0.25">
      <c r="A123" s="31" t="str">
        <f>IF(A122="","",IF(A122+1&gt;in_Term,"",A122+1))</f>
        <v/>
      </c>
      <c r="B123" s="32" t="str">
        <f>IF($A123="","",EDATE(in_Start,$A123-1))</f>
        <v/>
      </c>
      <c r="C123" s="32" t="str">
        <f>IF($A123="","",EDATE(in_Start,$A123)-1)</f>
        <v/>
      </c>
      <c r="D123" s="33" t="str">
        <f t="shared" si="7"/>
        <v/>
      </c>
      <c r="E123" s="33" t="str">
        <f>IF($A123="","",c_Dep)</f>
        <v/>
      </c>
      <c r="F123" s="33" t="str">
        <f>IF($A123="","",SUM($E$8:E123))</f>
        <v/>
      </c>
      <c r="G123" s="33" t="str">
        <f>IF($A123="","",c_ROU-F123)</f>
        <v/>
      </c>
      <c r="H123" s="31" t="str">
        <f t="shared" si="6"/>
        <v/>
      </c>
    </row>
    <row r="124" spans="1:8" x14ac:dyDescent="0.25">
      <c r="A124" s="31" t="str">
        <f>IF(A123="","",IF(A123+1&gt;in_Term,"",A123+1))</f>
        <v/>
      </c>
      <c r="B124" s="32" t="str">
        <f>IF($A124="","",EDATE(in_Start,$A124-1))</f>
        <v/>
      </c>
      <c r="C124" s="32" t="str">
        <f>IF($A124="","",EDATE(in_Start,$A124)-1)</f>
        <v/>
      </c>
      <c r="D124" s="33" t="str">
        <f t="shared" si="7"/>
        <v/>
      </c>
      <c r="E124" s="33" t="str">
        <f>IF($A124="","",c_Dep)</f>
        <v/>
      </c>
      <c r="F124" s="33" t="str">
        <f>IF($A124="","",SUM($E$8:E124))</f>
        <v/>
      </c>
      <c r="G124" s="33" t="str">
        <f>IF($A124="","",c_ROU-F124)</f>
        <v/>
      </c>
      <c r="H124" s="31" t="str">
        <f t="shared" si="6"/>
        <v/>
      </c>
    </row>
    <row r="125" spans="1:8" x14ac:dyDescent="0.25">
      <c r="A125" s="31" t="str">
        <f>IF(A124="","",IF(A124+1&gt;in_Term,"",A124+1))</f>
        <v/>
      </c>
      <c r="B125" s="32" t="str">
        <f>IF($A125="","",EDATE(in_Start,$A125-1))</f>
        <v/>
      </c>
      <c r="C125" s="32" t="str">
        <f>IF($A125="","",EDATE(in_Start,$A125)-1)</f>
        <v/>
      </c>
      <c r="D125" s="33" t="str">
        <f t="shared" si="7"/>
        <v/>
      </c>
      <c r="E125" s="33" t="str">
        <f>IF($A125="","",c_Dep)</f>
        <v/>
      </c>
      <c r="F125" s="33" t="str">
        <f>IF($A125="","",SUM($E$8:E125))</f>
        <v/>
      </c>
      <c r="G125" s="33" t="str">
        <f>IF($A125="","",c_ROU-F125)</f>
        <v/>
      </c>
      <c r="H125" s="31" t="str">
        <f t="shared" si="6"/>
        <v/>
      </c>
    </row>
    <row r="126" spans="1:8" x14ac:dyDescent="0.25">
      <c r="A126" s="31" t="str">
        <f>IF(A125="","",IF(A125+1&gt;in_Term,"",A125+1))</f>
        <v/>
      </c>
      <c r="B126" s="32" t="str">
        <f>IF($A126="","",EDATE(in_Start,$A126-1))</f>
        <v/>
      </c>
      <c r="C126" s="32" t="str">
        <f>IF($A126="","",EDATE(in_Start,$A126)-1)</f>
        <v/>
      </c>
      <c r="D126" s="33" t="str">
        <f t="shared" si="7"/>
        <v/>
      </c>
      <c r="E126" s="33" t="str">
        <f>IF($A126="","",c_Dep)</f>
        <v/>
      </c>
      <c r="F126" s="33" t="str">
        <f>IF($A126="","",SUM($E$8:E126))</f>
        <v/>
      </c>
      <c r="G126" s="33" t="str">
        <f>IF($A126="","",c_ROU-F126)</f>
        <v/>
      </c>
      <c r="H126" s="31" t="str">
        <f t="shared" si="6"/>
        <v/>
      </c>
    </row>
    <row r="127" spans="1:8" x14ac:dyDescent="0.25">
      <c r="A127" s="31" t="str">
        <f>IF(A126="","",IF(A126+1&gt;in_Term,"",A126+1))</f>
        <v/>
      </c>
      <c r="B127" s="32" t="str">
        <f>IF($A127="","",EDATE(in_Start,$A127-1))</f>
        <v/>
      </c>
      <c r="C127" s="32" t="str">
        <f>IF($A127="","",EDATE(in_Start,$A127)-1)</f>
        <v/>
      </c>
      <c r="D127" s="33" t="str">
        <f t="shared" si="7"/>
        <v/>
      </c>
      <c r="E127" s="33" t="str">
        <f>IF($A127="","",c_Dep)</f>
        <v/>
      </c>
      <c r="F127" s="33" t="str">
        <f>IF($A127="","",SUM($E$8:E127))</f>
        <v/>
      </c>
      <c r="G127" s="33" t="str">
        <f>IF($A127="","",c_ROU-F127)</f>
        <v/>
      </c>
      <c r="H127" s="31" t="str">
        <f t="shared" si="6"/>
        <v/>
      </c>
    </row>
  </sheetData>
  <mergeCells count="7">
    <mergeCell ref="A5:C5"/>
    <mergeCell ref="A1:H1"/>
    <mergeCell ref="A2:H2"/>
    <mergeCell ref="A3:C3"/>
    <mergeCell ref="E3:F3"/>
    <mergeCell ref="A4:C4"/>
    <mergeCell ref="E4:F4"/>
  </mergeCells>
  <printOptions horizontalCentered="1"/>
  <pageMargins left="0.3888888888888889" right="0.3888888888888889" top="0.5" bottom="0.55555555555555558" header="0.3" footer="0.3"/>
  <pageSetup paperSize="9" fitToHeight="0" orientation="landscape" verticalDpi="0" r:id="rId1"/>
  <headerFooter>
    <oddFooter>&amp;CMMN Syndicate · mmn-syndicate.vercel.app&amp;R&amp;P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2B19C-80E6-4845-90C9-8A8E3E9D8250}">
  <sheetPr>
    <pageSetUpPr fitToPage="1"/>
  </sheetPr>
  <dimension ref="A1:L20"/>
  <sheetViews>
    <sheetView zoomScale="90" zoomScaleNormal="9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RowHeight="13.2" x14ac:dyDescent="0.25"/>
  <cols>
    <col min="1" max="1" width="10.77734375" customWidth="1"/>
    <col min="2" max="3" width="12.77734375" customWidth="1"/>
    <col min="4" max="5" width="17.77734375" customWidth="1"/>
    <col min="6" max="7" width="18.77734375" customWidth="1"/>
    <col min="8" max="8" width="16.77734375" customWidth="1"/>
    <col min="9" max="12" width="18.77734375" customWidth="1"/>
  </cols>
  <sheetData>
    <row r="1" spans="1:12" ht="30" customHeight="1" x14ac:dyDescent="0.25">
      <c r="A1" s="2" t="s">
        <v>95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25">
      <c r="A2" s="36" t="s">
        <v>96</v>
      </c>
    </row>
    <row r="3" spans="1:12" x14ac:dyDescent="0.25">
      <c r="A3" s="36" t="s">
        <v>97</v>
      </c>
    </row>
    <row r="5" spans="1:12" ht="43.95" customHeight="1" x14ac:dyDescent="0.25">
      <c r="A5" s="5" t="s">
        <v>98</v>
      </c>
      <c r="B5" s="5" t="s">
        <v>99</v>
      </c>
      <c r="C5" s="5" t="s">
        <v>100</v>
      </c>
      <c r="D5" s="5" t="s">
        <v>101</v>
      </c>
      <c r="E5" s="5" t="s">
        <v>92</v>
      </c>
      <c r="F5" s="5" t="s">
        <v>102</v>
      </c>
      <c r="G5" s="5" t="s">
        <v>103</v>
      </c>
      <c r="H5" s="5" t="s">
        <v>104</v>
      </c>
      <c r="I5" s="5" t="s">
        <v>105</v>
      </c>
      <c r="J5" s="5" t="s">
        <v>106</v>
      </c>
      <c r="K5" s="5" t="s">
        <v>107</v>
      </c>
      <c r="L5" s="5" t="s">
        <v>108</v>
      </c>
    </row>
    <row r="6" spans="1:12" x14ac:dyDescent="0.25">
      <c r="A6" s="38">
        <f>IF(ROWS($A$6:A6)&lt;=c_Years,ROWS($A$6:A6),"")</f>
        <v>1</v>
      </c>
      <c r="B6" s="39">
        <f>IF($A6="","",EDATE(in_Start,12*($A6-1)))</f>
        <v>46023</v>
      </c>
      <c r="C6" s="39">
        <f>IF($A6="","",EDATE(in_Start,MIN(12*$A6,in_Term))-1)</f>
        <v>46387</v>
      </c>
      <c r="D6" s="40">
        <f>IF($A6="","",SUMIFS(s_Int,s_Year,$A6))</f>
        <v>71409.855510760026</v>
      </c>
      <c r="E6" s="40">
        <f>IF($A6="","",SUMIFS(r_Dep,r_Year,$A6))</f>
        <v>562761.6880623484</v>
      </c>
      <c r="F6" s="40">
        <f t="shared" ref="F6:F15" si="0">IF($A6="","",D6+E6)</f>
        <v>634171.54357310839</v>
      </c>
      <c r="G6" s="40">
        <f>IF($A6="","",SUMIFS(s_Pay,s_Year,$A6)+IF($A6=1,c_FirstPmt,0))</f>
        <v>600000</v>
      </c>
      <c r="H6" s="40">
        <f t="shared" ref="H6:H15" si="1">IF($A6="","",F6-G6)</f>
        <v>34171.543573108385</v>
      </c>
      <c r="I6" s="40">
        <f>IF($A6="","",INDEX(s_Close,MIN(12*$A6,in_Term)))</f>
        <v>1139694.9196978055</v>
      </c>
      <c r="J6" s="40">
        <f>IF($A6="","",I6-IF(12*$A6&gt;=in_Term,0,INDEX(s_Close,MIN(12*$A6+12,in_Term))))</f>
        <v>555633.81948288914</v>
      </c>
      <c r="K6" s="40">
        <f t="shared" ref="K6:K15" si="2">IF($A6="","",I6-J6)</f>
        <v>584061.1002149164</v>
      </c>
      <c r="L6" s="40">
        <f>IF($A6="","",INDEX(r_Carry,MIN(12*$A6,in_Term)))</f>
        <v>1125523.3761246968</v>
      </c>
    </row>
    <row r="7" spans="1:12" x14ac:dyDescent="0.25">
      <c r="A7" s="38">
        <f>IF(ROWS($A$6:A7)&lt;=c_Years,ROWS($A$6:A7),"")</f>
        <v>2</v>
      </c>
      <c r="B7" s="39">
        <f>IF($A7="","",EDATE(in_Start,12*($A7-1)))</f>
        <v>46388</v>
      </c>
      <c r="C7" s="39">
        <f>IF($A7="","",EDATE(in_Start,MIN(12*$A7,in_Term))-1)</f>
        <v>46752</v>
      </c>
      <c r="D7" s="40">
        <f>IF($A7="","",SUMIFS(s_Int,s_Year,$A7))</f>
        <v>44366.180517110952</v>
      </c>
      <c r="E7" s="40">
        <f>IF($A7="","",SUMIFS(r_Dep,r_Year,$A7))</f>
        <v>562761.6880623484</v>
      </c>
      <c r="F7" s="40">
        <f t="shared" si="0"/>
        <v>607127.86857945938</v>
      </c>
      <c r="G7" s="40">
        <f>IF($A7="","",SUMIFS(s_Pay,s_Year,$A7)+IF($A7=1,c_FirstPmt,0))</f>
        <v>600000</v>
      </c>
      <c r="H7" s="40">
        <f t="shared" si="1"/>
        <v>7127.8685794593766</v>
      </c>
      <c r="I7" s="40">
        <f>IF($A7="","",INDEX(s_Close,MIN(12*$A7,in_Term)))</f>
        <v>584061.1002149164</v>
      </c>
      <c r="J7" s="40">
        <f>IF($A7="","",I7-IF(12*$A7&gt;=in_Term,0,INDEX(s_Close,MIN(12*$A7+12,in_Term))))</f>
        <v>584061.10021491011</v>
      </c>
      <c r="K7" s="40">
        <f t="shared" si="2"/>
        <v>6.28642737865448E-9</v>
      </c>
      <c r="L7" s="40">
        <f>IF($A7="","",INDEX(r_Carry,MIN(12*$A7,in_Term)))</f>
        <v>562761.6880623484</v>
      </c>
    </row>
    <row r="8" spans="1:12" x14ac:dyDescent="0.25">
      <c r="A8" s="38">
        <f>IF(ROWS($A$6:A8)&lt;=c_Years,ROWS($A$6:A8),"")</f>
        <v>3</v>
      </c>
      <c r="B8" s="39">
        <f>IF($A8="","",EDATE(in_Start,12*($A8-1)))</f>
        <v>46753</v>
      </c>
      <c r="C8" s="39">
        <f>IF($A8="","",EDATE(in_Start,MIN(12*$A8,in_Term))-1)</f>
        <v>47118</v>
      </c>
      <c r="D8" s="40">
        <f>IF($A8="","",SUMIFS(s_Int,s_Year,$A8))</f>
        <v>15938.899785090005</v>
      </c>
      <c r="E8" s="40">
        <f>IF($A8="","",SUMIFS(r_Dep,r_Year,$A8))</f>
        <v>562761.6880623484</v>
      </c>
      <c r="F8" s="40">
        <f t="shared" si="0"/>
        <v>578700.58784743841</v>
      </c>
      <c r="G8" s="40">
        <f>IF($A8="","",SUMIFS(s_Pay,s_Year,$A8)+IF($A8=1,c_FirstPmt,0))</f>
        <v>600000</v>
      </c>
      <c r="H8" s="40">
        <f t="shared" si="1"/>
        <v>-21299.412152561592</v>
      </c>
      <c r="I8" s="40">
        <f>IF($A8="","",INDEX(s_Close,MIN(12*$A8,in_Term)))</f>
        <v>6.3082552514970303E-9</v>
      </c>
      <c r="J8" s="40">
        <f>IF($A8="","",I8-IF(12*$A8&gt;=in_Term,0,INDEX(s_Close,MIN(12*$A8+12,in_Term))))</f>
        <v>6.3082552514970303E-9</v>
      </c>
      <c r="K8" s="40">
        <f t="shared" si="2"/>
        <v>0</v>
      </c>
      <c r="L8" s="40">
        <f>IF($A8="","",INDEX(r_Carry,MIN(12*$A8,in_Term)))</f>
        <v>0</v>
      </c>
    </row>
    <row r="9" spans="1:12" x14ac:dyDescent="0.25">
      <c r="A9" s="38" t="str">
        <f>IF(ROWS($A$6:A9)&lt;=c_Years,ROWS($A$6:A9),"")</f>
        <v/>
      </c>
      <c r="B9" s="39" t="str">
        <f>IF($A9="","",EDATE(in_Start,12*($A9-1)))</f>
        <v/>
      </c>
      <c r="C9" s="39" t="str">
        <f>IF($A9="","",EDATE(in_Start,MIN(12*$A9,in_Term))-1)</f>
        <v/>
      </c>
      <c r="D9" s="40" t="str">
        <f>IF($A9="","",SUMIFS(s_Int,s_Year,$A9))</f>
        <v/>
      </c>
      <c r="E9" s="40" t="str">
        <f>IF($A9="","",SUMIFS(r_Dep,r_Year,$A9))</f>
        <v/>
      </c>
      <c r="F9" s="40" t="str">
        <f t="shared" si="0"/>
        <v/>
      </c>
      <c r="G9" s="40" t="str">
        <f>IF($A9="","",SUMIFS(s_Pay,s_Year,$A9)+IF($A9=1,c_FirstPmt,0))</f>
        <v/>
      </c>
      <c r="H9" s="40" t="str">
        <f t="shared" si="1"/>
        <v/>
      </c>
      <c r="I9" s="40" t="str">
        <f>IF($A9="","",INDEX(s_Close,MIN(12*$A9,in_Term)))</f>
        <v/>
      </c>
      <c r="J9" s="40" t="str">
        <f>IF($A9="","",I9-IF(12*$A9&gt;=in_Term,0,INDEX(s_Close,MIN(12*$A9+12,in_Term))))</f>
        <v/>
      </c>
      <c r="K9" s="40" t="str">
        <f t="shared" si="2"/>
        <v/>
      </c>
      <c r="L9" s="40" t="str">
        <f>IF($A9="","",INDEX(r_Carry,MIN(12*$A9,in_Term)))</f>
        <v/>
      </c>
    </row>
    <row r="10" spans="1:12" x14ac:dyDescent="0.25">
      <c r="A10" s="38" t="str">
        <f>IF(ROWS($A$6:A10)&lt;=c_Years,ROWS($A$6:A10),"")</f>
        <v/>
      </c>
      <c r="B10" s="39" t="str">
        <f>IF($A10="","",EDATE(in_Start,12*($A10-1)))</f>
        <v/>
      </c>
      <c r="C10" s="39" t="str">
        <f>IF($A10="","",EDATE(in_Start,MIN(12*$A10,in_Term))-1)</f>
        <v/>
      </c>
      <c r="D10" s="40" t="str">
        <f>IF($A10="","",SUMIFS(s_Int,s_Year,$A10))</f>
        <v/>
      </c>
      <c r="E10" s="40" t="str">
        <f>IF($A10="","",SUMIFS(r_Dep,r_Year,$A10))</f>
        <v/>
      </c>
      <c r="F10" s="40" t="str">
        <f t="shared" si="0"/>
        <v/>
      </c>
      <c r="G10" s="40" t="str">
        <f>IF($A10="","",SUMIFS(s_Pay,s_Year,$A10)+IF($A10=1,c_FirstPmt,0))</f>
        <v/>
      </c>
      <c r="H10" s="40" t="str">
        <f t="shared" si="1"/>
        <v/>
      </c>
      <c r="I10" s="40" t="str">
        <f>IF($A10="","",INDEX(s_Close,MIN(12*$A10,in_Term)))</f>
        <v/>
      </c>
      <c r="J10" s="40" t="str">
        <f>IF($A10="","",I10-IF(12*$A10&gt;=in_Term,0,INDEX(s_Close,MIN(12*$A10+12,in_Term))))</f>
        <v/>
      </c>
      <c r="K10" s="40" t="str">
        <f t="shared" si="2"/>
        <v/>
      </c>
      <c r="L10" s="40" t="str">
        <f>IF($A10="","",INDEX(r_Carry,MIN(12*$A10,in_Term)))</f>
        <v/>
      </c>
    </row>
    <row r="11" spans="1:12" x14ac:dyDescent="0.25">
      <c r="A11" s="38" t="str">
        <f>IF(ROWS($A$6:A11)&lt;=c_Years,ROWS($A$6:A11),"")</f>
        <v/>
      </c>
      <c r="B11" s="39" t="str">
        <f>IF($A11="","",EDATE(in_Start,12*($A11-1)))</f>
        <v/>
      </c>
      <c r="C11" s="39" t="str">
        <f>IF($A11="","",EDATE(in_Start,MIN(12*$A11,in_Term))-1)</f>
        <v/>
      </c>
      <c r="D11" s="40" t="str">
        <f>IF($A11="","",SUMIFS(s_Int,s_Year,$A11))</f>
        <v/>
      </c>
      <c r="E11" s="40" t="str">
        <f>IF($A11="","",SUMIFS(r_Dep,r_Year,$A11))</f>
        <v/>
      </c>
      <c r="F11" s="40" t="str">
        <f t="shared" si="0"/>
        <v/>
      </c>
      <c r="G11" s="40" t="str">
        <f>IF($A11="","",SUMIFS(s_Pay,s_Year,$A11)+IF($A11=1,c_FirstPmt,0))</f>
        <v/>
      </c>
      <c r="H11" s="40" t="str">
        <f t="shared" si="1"/>
        <v/>
      </c>
      <c r="I11" s="40" t="str">
        <f>IF($A11="","",INDEX(s_Close,MIN(12*$A11,in_Term)))</f>
        <v/>
      </c>
      <c r="J11" s="40" t="str">
        <f>IF($A11="","",I11-IF(12*$A11&gt;=in_Term,0,INDEX(s_Close,MIN(12*$A11+12,in_Term))))</f>
        <v/>
      </c>
      <c r="K11" s="40" t="str">
        <f t="shared" si="2"/>
        <v/>
      </c>
      <c r="L11" s="40" t="str">
        <f>IF($A11="","",INDEX(r_Carry,MIN(12*$A11,in_Term)))</f>
        <v/>
      </c>
    </row>
    <row r="12" spans="1:12" x14ac:dyDescent="0.25">
      <c r="A12" s="38" t="str">
        <f>IF(ROWS($A$6:A12)&lt;=c_Years,ROWS($A$6:A12),"")</f>
        <v/>
      </c>
      <c r="B12" s="39" t="str">
        <f>IF($A12="","",EDATE(in_Start,12*($A12-1)))</f>
        <v/>
      </c>
      <c r="C12" s="39" t="str">
        <f>IF($A12="","",EDATE(in_Start,MIN(12*$A12,in_Term))-1)</f>
        <v/>
      </c>
      <c r="D12" s="40" t="str">
        <f>IF($A12="","",SUMIFS(s_Int,s_Year,$A12))</f>
        <v/>
      </c>
      <c r="E12" s="40" t="str">
        <f>IF($A12="","",SUMIFS(r_Dep,r_Year,$A12))</f>
        <v/>
      </c>
      <c r="F12" s="40" t="str">
        <f t="shared" si="0"/>
        <v/>
      </c>
      <c r="G12" s="40" t="str">
        <f>IF($A12="","",SUMIFS(s_Pay,s_Year,$A12)+IF($A12=1,c_FirstPmt,0))</f>
        <v/>
      </c>
      <c r="H12" s="40" t="str">
        <f t="shared" si="1"/>
        <v/>
      </c>
      <c r="I12" s="40" t="str">
        <f>IF($A12="","",INDEX(s_Close,MIN(12*$A12,in_Term)))</f>
        <v/>
      </c>
      <c r="J12" s="40" t="str">
        <f>IF($A12="","",I12-IF(12*$A12&gt;=in_Term,0,INDEX(s_Close,MIN(12*$A12+12,in_Term))))</f>
        <v/>
      </c>
      <c r="K12" s="40" t="str">
        <f t="shared" si="2"/>
        <v/>
      </c>
      <c r="L12" s="40" t="str">
        <f>IF($A12="","",INDEX(r_Carry,MIN(12*$A12,in_Term)))</f>
        <v/>
      </c>
    </row>
    <row r="13" spans="1:12" x14ac:dyDescent="0.25">
      <c r="A13" s="38" t="str">
        <f>IF(ROWS($A$6:A13)&lt;=c_Years,ROWS($A$6:A13),"")</f>
        <v/>
      </c>
      <c r="B13" s="39" t="str">
        <f>IF($A13="","",EDATE(in_Start,12*($A13-1)))</f>
        <v/>
      </c>
      <c r="C13" s="39" t="str">
        <f>IF($A13="","",EDATE(in_Start,MIN(12*$A13,in_Term))-1)</f>
        <v/>
      </c>
      <c r="D13" s="40" t="str">
        <f>IF($A13="","",SUMIFS(s_Int,s_Year,$A13))</f>
        <v/>
      </c>
      <c r="E13" s="40" t="str">
        <f>IF($A13="","",SUMIFS(r_Dep,r_Year,$A13))</f>
        <v/>
      </c>
      <c r="F13" s="40" t="str">
        <f t="shared" si="0"/>
        <v/>
      </c>
      <c r="G13" s="40" t="str">
        <f>IF($A13="","",SUMIFS(s_Pay,s_Year,$A13)+IF($A13=1,c_FirstPmt,0))</f>
        <v/>
      </c>
      <c r="H13" s="40" t="str">
        <f t="shared" si="1"/>
        <v/>
      </c>
      <c r="I13" s="40" t="str">
        <f>IF($A13="","",INDEX(s_Close,MIN(12*$A13,in_Term)))</f>
        <v/>
      </c>
      <c r="J13" s="40" t="str">
        <f>IF($A13="","",I13-IF(12*$A13&gt;=in_Term,0,INDEX(s_Close,MIN(12*$A13+12,in_Term))))</f>
        <v/>
      </c>
      <c r="K13" s="40" t="str">
        <f t="shared" si="2"/>
        <v/>
      </c>
      <c r="L13" s="40" t="str">
        <f>IF($A13="","",INDEX(r_Carry,MIN(12*$A13,in_Term)))</f>
        <v/>
      </c>
    </row>
    <row r="14" spans="1:12" x14ac:dyDescent="0.25">
      <c r="A14" s="38" t="str">
        <f>IF(ROWS($A$6:A14)&lt;=c_Years,ROWS($A$6:A14),"")</f>
        <v/>
      </c>
      <c r="B14" s="39" t="str">
        <f>IF($A14="","",EDATE(in_Start,12*($A14-1)))</f>
        <v/>
      </c>
      <c r="C14" s="39" t="str">
        <f>IF($A14="","",EDATE(in_Start,MIN(12*$A14,in_Term))-1)</f>
        <v/>
      </c>
      <c r="D14" s="40" t="str">
        <f>IF($A14="","",SUMIFS(s_Int,s_Year,$A14))</f>
        <v/>
      </c>
      <c r="E14" s="40" t="str">
        <f>IF($A14="","",SUMIFS(r_Dep,r_Year,$A14))</f>
        <v/>
      </c>
      <c r="F14" s="40" t="str">
        <f t="shared" si="0"/>
        <v/>
      </c>
      <c r="G14" s="40" t="str">
        <f>IF($A14="","",SUMIFS(s_Pay,s_Year,$A14)+IF($A14=1,c_FirstPmt,0))</f>
        <v/>
      </c>
      <c r="H14" s="40" t="str">
        <f t="shared" si="1"/>
        <v/>
      </c>
      <c r="I14" s="40" t="str">
        <f>IF($A14="","",INDEX(s_Close,MIN(12*$A14,in_Term)))</f>
        <v/>
      </c>
      <c r="J14" s="40" t="str">
        <f>IF($A14="","",I14-IF(12*$A14&gt;=in_Term,0,INDEX(s_Close,MIN(12*$A14+12,in_Term))))</f>
        <v/>
      </c>
      <c r="K14" s="40" t="str">
        <f t="shared" si="2"/>
        <v/>
      </c>
      <c r="L14" s="40" t="str">
        <f>IF($A14="","",INDEX(r_Carry,MIN(12*$A14,in_Term)))</f>
        <v/>
      </c>
    </row>
    <row r="15" spans="1:12" x14ac:dyDescent="0.25">
      <c r="A15" s="38" t="str">
        <f>IF(ROWS($A$6:A15)&lt;=c_Years,ROWS($A$6:A15),"")</f>
        <v/>
      </c>
      <c r="B15" s="39" t="str">
        <f>IF($A15="","",EDATE(in_Start,12*($A15-1)))</f>
        <v/>
      </c>
      <c r="C15" s="39" t="str">
        <f>IF($A15="","",EDATE(in_Start,MIN(12*$A15,in_Term))-1)</f>
        <v/>
      </c>
      <c r="D15" s="40" t="str">
        <f>IF($A15="","",SUMIFS(s_Int,s_Year,$A15))</f>
        <v/>
      </c>
      <c r="E15" s="40" t="str">
        <f>IF($A15="","",SUMIFS(r_Dep,r_Year,$A15))</f>
        <v/>
      </c>
      <c r="F15" s="40" t="str">
        <f t="shared" si="0"/>
        <v/>
      </c>
      <c r="G15" s="40" t="str">
        <f>IF($A15="","",SUMIFS(s_Pay,s_Year,$A15)+IF($A15=1,c_FirstPmt,0))</f>
        <v/>
      </c>
      <c r="H15" s="40" t="str">
        <f t="shared" si="1"/>
        <v/>
      </c>
      <c r="I15" s="40" t="str">
        <f>IF($A15="","",INDEX(s_Close,MIN(12*$A15,in_Term)))</f>
        <v/>
      </c>
      <c r="J15" s="40" t="str">
        <f>IF($A15="","",I15-IF(12*$A15&gt;=in_Term,0,INDEX(s_Close,MIN(12*$A15+12,in_Term))))</f>
        <v/>
      </c>
      <c r="K15" s="40" t="str">
        <f t="shared" si="2"/>
        <v/>
      </c>
      <c r="L15" s="40" t="str">
        <f>IF($A15="","",INDEX(r_Carry,MIN(12*$A15,in_Term)))</f>
        <v/>
      </c>
    </row>
    <row r="16" spans="1:12" x14ac:dyDescent="0.25">
      <c r="A16" s="41" t="s">
        <v>109</v>
      </c>
      <c r="B16" s="41"/>
      <c r="C16" s="41"/>
      <c r="D16" s="42">
        <f>SUM(D6:D15)</f>
        <v>131714.93581296099</v>
      </c>
      <c r="E16" s="42">
        <f>SUM(E6:E15)</f>
        <v>1688285.0641870452</v>
      </c>
      <c r="F16" s="42">
        <f>SUM(F6:F15)</f>
        <v>1820000.0000000063</v>
      </c>
      <c r="G16" s="42">
        <f>SUM(G6:G15)</f>
        <v>1800000</v>
      </c>
      <c r="H16" s="42">
        <f>SUM(H6:H15)</f>
        <v>20000.00000000617</v>
      </c>
      <c r="I16" s="42"/>
      <c r="J16" s="42"/>
      <c r="K16" s="42"/>
      <c r="L16" s="42"/>
    </row>
    <row r="18" spans="1:5" x14ac:dyDescent="0.25">
      <c r="A18" s="37" t="s">
        <v>110</v>
      </c>
      <c r="E18" s="43" t="str">
        <f>IF(ABS(D16-c_TotInt)&lt;=0.01,"✔ OK","✘ ตรวจสอบ")</f>
        <v>✔ OK</v>
      </c>
    </row>
    <row r="19" spans="1:5" x14ac:dyDescent="0.25">
      <c r="A19" s="37" t="s">
        <v>111</v>
      </c>
      <c r="E19" s="43" t="str">
        <f>IF(ABS(E16-c_ROU)&lt;=0.01,"✔ OK","✘ ตรวจสอบ")</f>
        <v>✔ OK</v>
      </c>
    </row>
    <row r="20" spans="1:5" x14ac:dyDescent="0.25">
      <c r="A20" s="37" t="s">
        <v>112</v>
      </c>
      <c r="E20" s="43" t="str">
        <f>IF(ABS(G16-c_TotPmt)&lt;=0.01,"✔ OK","✘ ตรวจสอบ")</f>
        <v>✔ OK</v>
      </c>
    </row>
  </sheetData>
  <mergeCells count="1">
    <mergeCell ref="A1:L1"/>
  </mergeCells>
  <printOptions horizontalCentered="1"/>
  <pageMargins left="0.3888888888888889" right="0.3888888888888889" top="0.5" bottom="0.55555555555555558" header="0.3" footer="0.3"/>
  <pageSetup paperSize="9" scale="72" fitToHeight="0" orientation="landscape" verticalDpi="0" r:id="rId1"/>
  <headerFooter>
    <oddFooter>&amp;CMMN Syndicate · mmn-syndicate.vercel.app&amp;R&amp;P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F7060-801C-461D-A91F-BDA74F614F75}">
  <sheetPr>
    <pageSetUpPr fitToPage="1"/>
  </sheetPr>
  <dimension ref="A1:E23"/>
  <sheetViews>
    <sheetView zoomScale="90" zoomScaleNormal="90" workbookViewId="0">
      <pane ySplit="3" topLeftCell="A4" activePane="bottomLeft" state="frozen"/>
      <selection pane="bottomLeft" activeCell="A4" sqref="A4:E4"/>
    </sheetView>
  </sheetViews>
  <sheetFormatPr defaultRowHeight="13.2" x14ac:dyDescent="0.25"/>
  <cols>
    <col min="1" max="1" width="13.77734375" customWidth="1"/>
    <col min="2" max="2" width="66.77734375" customWidth="1"/>
    <col min="3" max="4" width="18.77734375" customWidth="1"/>
    <col min="5" max="5" width="58.77734375" customWidth="1"/>
  </cols>
  <sheetData>
    <row r="1" spans="1:5" ht="30" customHeight="1" x14ac:dyDescent="0.25">
      <c r="A1" s="2" t="s">
        <v>113</v>
      </c>
      <c r="B1" s="2"/>
      <c r="C1" s="2"/>
      <c r="D1" s="2"/>
      <c r="E1" s="2"/>
    </row>
    <row r="2" spans="1:5" x14ac:dyDescent="0.25">
      <c r="A2" s="26" t="s">
        <v>114</v>
      </c>
      <c r="B2" s="1"/>
      <c r="C2" s="1"/>
      <c r="D2" s="1"/>
      <c r="E2" s="1"/>
    </row>
    <row r="4" spans="1:5" ht="13.8" x14ac:dyDescent="0.25">
      <c r="A4" s="4" t="s">
        <v>115</v>
      </c>
      <c r="B4" s="4"/>
      <c r="C4" s="4"/>
      <c r="D4" s="4"/>
      <c r="E4" s="4"/>
    </row>
    <row r="5" spans="1:5" x14ac:dyDescent="0.25">
      <c r="A5" s="5" t="s">
        <v>116</v>
      </c>
      <c r="B5" s="5" t="s">
        <v>117</v>
      </c>
      <c r="C5" s="5" t="s">
        <v>118</v>
      </c>
      <c r="D5" s="5" t="s">
        <v>119</v>
      </c>
      <c r="E5" s="5" t="s">
        <v>120</v>
      </c>
    </row>
    <row r="6" spans="1:5" x14ac:dyDescent="0.25">
      <c r="A6" s="32">
        <f>in_Start</f>
        <v>46023</v>
      </c>
      <c r="B6" s="7" t="s">
        <v>121</v>
      </c>
      <c r="C6" s="33">
        <f>c_ROU</f>
        <v>1688285.0641870452</v>
      </c>
      <c r="D6" s="33"/>
      <c r="E6" s="46" t="s">
        <v>122</v>
      </c>
    </row>
    <row r="7" spans="1:5" x14ac:dyDescent="0.25">
      <c r="A7" s="32">
        <f>in_Start</f>
        <v>46023</v>
      </c>
      <c r="B7" s="7" t="s">
        <v>123</v>
      </c>
      <c r="C7" s="33">
        <f>in_Incent</f>
        <v>0</v>
      </c>
      <c r="D7" s="33"/>
      <c r="E7" s="46" t="s">
        <v>124</v>
      </c>
    </row>
    <row r="8" spans="1:5" x14ac:dyDescent="0.25">
      <c r="A8" s="32">
        <f>in_Start</f>
        <v>46023</v>
      </c>
      <c r="B8" s="7" t="s">
        <v>125</v>
      </c>
      <c r="C8" s="33"/>
      <c r="D8" s="33">
        <f>c_L0</f>
        <v>1668285.0641870452</v>
      </c>
      <c r="E8" s="46" t="s">
        <v>126</v>
      </c>
    </row>
    <row r="9" spans="1:5" x14ac:dyDescent="0.25">
      <c r="A9" s="32">
        <f>in_Start</f>
        <v>46023</v>
      </c>
      <c r="B9" s="7" t="s">
        <v>127</v>
      </c>
      <c r="C9" s="33"/>
      <c r="D9" s="33">
        <f>c_FirstPmt+in_Prepaid</f>
        <v>0</v>
      </c>
      <c r="E9" s="46" t="s">
        <v>128</v>
      </c>
    </row>
    <row r="10" spans="1:5" x14ac:dyDescent="0.25">
      <c r="A10" s="32">
        <f>in_Start</f>
        <v>46023</v>
      </c>
      <c r="B10" s="7" t="s">
        <v>129</v>
      </c>
      <c r="C10" s="33"/>
      <c r="D10" s="33">
        <f>in_IDC</f>
        <v>20000</v>
      </c>
      <c r="E10" s="46" t="s">
        <v>130</v>
      </c>
    </row>
    <row r="11" spans="1:5" x14ac:dyDescent="0.25">
      <c r="A11" s="32">
        <f>in_Start</f>
        <v>46023</v>
      </c>
      <c r="B11" s="7" t="s">
        <v>131</v>
      </c>
      <c r="C11" s="33"/>
      <c r="D11" s="33">
        <f>in_Restor</f>
        <v>0</v>
      </c>
      <c r="E11" s="46" t="s">
        <v>132</v>
      </c>
    </row>
    <row r="12" spans="1:5" x14ac:dyDescent="0.25">
      <c r="A12" s="41"/>
      <c r="B12" s="41" t="s">
        <v>109</v>
      </c>
      <c r="C12" s="42">
        <f>SUM(C6:C11)</f>
        <v>1688285.0641870452</v>
      </c>
      <c r="D12" s="42">
        <f>SUM(D6:D11)</f>
        <v>1688285.0641870452</v>
      </c>
      <c r="E12" s="47"/>
    </row>
    <row r="13" spans="1:5" x14ac:dyDescent="0.25">
      <c r="A13" s="7"/>
      <c r="B13" s="45" t="s">
        <v>133</v>
      </c>
      <c r="C13" s="45" t="str">
        <f>IF(ABS(C12-D12)&lt;=0.01,"✔ สมดุล (Balanced)","✘ ไม่สมดุล")</f>
        <v>✔ สมดุล (Balanced)</v>
      </c>
      <c r="D13" s="7"/>
      <c r="E13" s="46"/>
    </row>
    <row r="14" spans="1:5" ht="13.8" x14ac:dyDescent="0.25">
      <c r="A14" s="44" t="s">
        <v>134</v>
      </c>
      <c r="B14" s="44"/>
      <c r="C14" s="44"/>
      <c r="D14" s="44"/>
      <c r="E14" s="44"/>
    </row>
    <row r="15" spans="1:5" x14ac:dyDescent="0.25">
      <c r="A15" s="5" t="s">
        <v>116</v>
      </c>
      <c r="B15" s="5" t="s">
        <v>117</v>
      </c>
      <c r="C15" s="5" t="s">
        <v>118</v>
      </c>
      <c r="D15" s="5" t="s">
        <v>119</v>
      </c>
      <c r="E15" s="5" t="s">
        <v>120</v>
      </c>
    </row>
    <row r="16" spans="1:5" x14ac:dyDescent="0.25">
      <c r="A16" s="32">
        <f>INDEX(s_End,1)</f>
        <v>46053</v>
      </c>
      <c r="B16" s="7" t="s">
        <v>135</v>
      </c>
      <c r="C16" s="33">
        <f>INDEX(s_Int,1)</f>
        <v>6951.187767446022</v>
      </c>
      <c r="D16" s="33"/>
      <c r="E16" s="46" t="s">
        <v>136</v>
      </c>
    </row>
    <row r="17" spans="1:5" x14ac:dyDescent="0.25">
      <c r="A17" s="32">
        <f>INDEX(s_End,1)</f>
        <v>46053</v>
      </c>
      <c r="B17" s="7" t="s">
        <v>125</v>
      </c>
      <c r="C17" s="33"/>
      <c r="D17" s="33">
        <f>INDEX(s_Int,1)</f>
        <v>6951.187767446022</v>
      </c>
      <c r="E17" s="46" t="s">
        <v>137</v>
      </c>
    </row>
    <row r="18" spans="1:5" x14ac:dyDescent="0.25">
      <c r="A18" s="32">
        <f>INDEX(s_PayDate,1)</f>
        <v>46053</v>
      </c>
      <c r="B18" s="7" t="s">
        <v>138</v>
      </c>
      <c r="C18" s="33">
        <f>INDEX(s_Pay,1)</f>
        <v>50000</v>
      </c>
      <c r="D18" s="33"/>
      <c r="E18" s="46" t="s">
        <v>139</v>
      </c>
    </row>
    <row r="19" spans="1:5" x14ac:dyDescent="0.25">
      <c r="A19" s="32">
        <f>INDEX(s_PayDate,1)</f>
        <v>46053</v>
      </c>
      <c r="B19" s="7" t="s">
        <v>140</v>
      </c>
      <c r="C19" s="33"/>
      <c r="D19" s="33">
        <f>INDEX(s_Pay,1)</f>
        <v>50000</v>
      </c>
      <c r="E19" s="46" t="s">
        <v>141</v>
      </c>
    </row>
    <row r="20" spans="1:5" x14ac:dyDescent="0.25">
      <c r="A20" s="32">
        <f>INDEX(s_End,1)</f>
        <v>46053</v>
      </c>
      <c r="B20" s="7" t="s">
        <v>142</v>
      </c>
      <c r="C20" s="33">
        <f>INDEX(r_Dep,1)</f>
        <v>46896.807338529034</v>
      </c>
      <c r="D20" s="33"/>
      <c r="E20" s="46" t="s">
        <v>143</v>
      </c>
    </row>
    <row r="21" spans="1:5" x14ac:dyDescent="0.25">
      <c r="A21" s="32">
        <f>INDEX(s_End,1)</f>
        <v>46053</v>
      </c>
      <c r="B21" s="7" t="s">
        <v>144</v>
      </c>
      <c r="C21" s="33"/>
      <c r="D21" s="33">
        <f>INDEX(r_Dep,1)</f>
        <v>46896.807338529034</v>
      </c>
      <c r="E21" s="46"/>
    </row>
    <row r="22" spans="1:5" x14ac:dyDescent="0.25">
      <c r="A22" s="41"/>
      <c r="B22" s="41" t="s">
        <v>109</v>
      </c>
      <c r="C22" s="42">
        <f>SUM(C16:C21)</f>
        <v>103847.99510597505</v>
      </c>
      <c r="D22" s="42">
        <f>SUM(D16:D21)</f>
        <v>103847.99510597505</v>
      </c>
      <c r="E22" s="47"/>
    </row>
    <row r="23" spans="1:5" x14ac:dyDescent="0.25">
      <c r="A23" s="7"/>
      <c r="B23" s="45" t="s">
        <v>133</v>
      </c>
      <c r="C23" s="45" t="str">
        <f>IF(ABS(C22-D22)&lt;=0.01,"✔ สมดุล (Balanced)","✘ ไม่สมดุล")</f>
        <v>✔ สมดุล (Balanced)</v>
      </c>
      <c r="D23" s="7"/>
      <c r="E23" s="46"/>
    </row>
  </sheetData>
  <mergeCells count="4">
    <mergeCell ref="A1:E1"/>
    <mergeCell ref="A2:E2"/>
    <mergeCell ref="A4:E4"/>
    <mergeCell ref="A14:E14"/>
  </mergeCells>
  <printOptions horizontalCentered="1"/>
  <pageMargins left="0.3888888888888889" right="0.3888888888888889" top="0.5" bottom="0.55555555555555558" header="0.3" footer="0.3"/>
  <pageSetup paperSize="9" scale="82" fitToHeight="0" orientation="landscape" verticalDpi="0" r:id="rId1"/>
  <headerFooter>
    <oddFooter>&amp;CMMN Syndicate · mmn-syndicate.vercel.app&amp;R&amp;P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38</vt:i4>
      </vt:variant>
    </vt:vector>
  </HeadingPairs>
  <TitlesOfParts>
    <vt:vector size="44" baseType="lpstr">
      <vt:lpstr>คำแนะนำ (Guide)</vt:lpstr>
      <vt:lpstr>ข้อมูลนำเข้า (Inputs)</vt:lpstr>
      <vt:lpstr>ตารางหนี้สิน (Liab. schedule)</vt:lpstr>
      <vt:lpstr>ROU &amp; ค่าเสื่อม</vt:lpstr>
      <vt:lpstr>สรุปรายปี (Annual summary)</vt:lpstr>
      <vt:lpstr>รายการบัญชี (Journal entries)</vt:lpstr>
      <vt:lpstr>c_Adv</vt:lpstr>
      <vt:lpstr>c_Dep</vt:lpstr>
      <vt:lpstr>c_End</vt:lpstr>
      <vt:lpstr>c_FirstPmt</vt:lpstr>
      <vt:lpstr>c_L0</vt:lpstr>
      <vt:lpstr>c_NPay</vt:lpstr>
      <vt:lpstr>c_Rate</vt:lpstr>
      <vt:lpstr>c_ROU</vt:lpstr>
      <vt:lpstr>c_TotInt</vt:lpstr>
      <vt:lpstr>c_TotPmt</vt:lpstr>
      <vt:lpstr>c_Years</vt:lpstr>
      <vt:lpstr>in_AssetVal</vt:lpstr>
      <vt:lpstr>in_IBR</vt:lpstr>
      <vt:lpstr>in_IDC</vt:lpstr>
      <vt:lpstr>in_Incent</vt:lpstr>
      <vt:lpstr>in_LowThr</vt:lpstr>
      <vt:lpstr>in_Name</vt:lpstr>
      <vt:lpstr>in_Pmt</vt:lpstr>
      <vt:lpstr>in_Prepaid</vt:lpstr>
      <vt:lpstr>in_PurchOpt</vt:lpstr>
      <vt:lpstr>in_Restor</vt:lpstr>
      <vt:lpstr>in_Start</vt:lpstr>
      <vt:lpstr>in_Term</vt:lpstr>
      <vt:lpstr>in_Timing</vt:lpstr>
      <vt:lpstr>'ROU &amp; ค่าเสื่อม'!Print_Titles</vt:lpstr>
      <vt:lpstr>'ตารางหนี้สิน (Liab. schedule)'!Print_Titles</vt:lpstr>
      <vt:lpstr>'สรุปรายปี (Annual summary)'!Print_Titles</vt:lpstr>
      <vt:lpstr>r_Carry</vt:lpstr>
      <vt:lpstr>r_Dep</vt:lpstr>
      <vt:lpstr>r_Year</vt:lpstr>
      <vt:lpstr>s_Close</vt:lpstr>
      <vt:lpstr>s_End</vt:lpstr>
      <vt:lpstr>s_Int</vt:lpstr>
      <vt:lpstr>s_Open</vt:lpstr>
      <vt:lpstr>s_Pay</vt:lpstr>
      <vt:lpstr>s_PayDate</vt:lpstr>
      <vt:lpstr>s_Start</vt:lpstr>
      <vt:lpstr>s_Year</vt:lpstr>
    </vt:vector>
  </TitlesOfParts>
  <Company>MMN Syndicate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TFRS 16 Lease Schedule (Lessee)</dc:title>
  <dc:subject>TFRS 16 / IFRS 16 lessee lease liability, ROU asset, depreciation and journal entries</dc:subject>
  <dc:creator>MMN Syndicate</dc:creator>
  <cp:keywords>TFRS 16, IFRS 16, lease, ROU, MMN Syndicate</cp:keywords>
  <dc:description>เทมเพลตนี้เพื่อการศึกษาและใช้งานเบื้องต้น ไม่ใช่คำแนะนำทางวิชาชีพเฉพาะกรณี โปรดตรวจสอบกับมาตรฐาน TFRS ฉบับล่าสุดและผู้เชี่ยวชาญ — MMN Syndicate · mmn-syndicate.vercel.app</dc:description>
  <cp:lastModifiedBy>MMN Syndicate</cp:lastModifiedBy>
  <dcterms:created xsi:type="dcterms:W3CDTF">2026-09-28T14:48:51Z</dcterms:created>
  <dcterms:modified xsi:type="dcterms:W3CDTF">2026-09-28T14:49:13Z</dcterms:modified>
</cp:coreProperties>
</file>